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3" i="1" l="1"/>
  <c r="AP43" i="1" s="1"/>
  <c r="AQ43" i="1" s="1"/>
  <c r="AR43" i="1" s="1"/>
  <c r="AE43" i="1"/>
  <c r="AG43" i="1" s="1"/>
  <c r="H43" i="1"/>
  <c r="G43" i="1"/>
  <c r="AQ42" i="1"/>
  <c r="AR42" i="1" s="1"/>
  <c r="AE42" i="1"/>
  <c r="AG42" i="1" s="1"/>
  <c r="H42" i="1"/>
  <c r="AO41" i="1"/>
  <c r="AP41" i="1" s="1"/>
  <c r="AF41" i="1"/>
  <c r="AE41" i="1"/>
  <c r="H41" i="1"/>
  <c r="G41" i="1"/>
  <c r="AO40" i="1"/>
  <c r="AP40" i="1" s="1"/>
  <c r="AF40" i="1"/>
  <c r="AE40" i="1"/>
  <c r="H40" i="1"/>
  <c r="G40" i="1"/>
  <c r="AO39" i="1"/>
  <c r="AN39" i="1"/>
  <c r="AE39" i="1"/>
  <c r="AG39" i="1" s="1"/>
  <c r="H39" i="1"/>
  <c r="G39" i="1"/>
  <c r="AO38" i="1"/>
  <c r="AN38" i="1"/>
  <c r="AE38" i="1"/>
  <c r="AG38" i="1" s="1"/>
  <c r="H38" i="1"/>
  <c r="G38" i="1"/>
  <c r="AO37" i="1"/>
  <c r="AN37" i="1"/>
  <c r="AE37" i="1"/>
  <c r="AG37" i="1" s="1"/>
  <c r="H37" i="1"/>
  <c r="G37" i="1"/>
  <c r="AO36" i="1"/>
  <c r="AN36" i="1"/>
  <c r="AP36" i="1" s="1"/>
  <c r="AE36" i="1"/>
  <c r="AG36" i="1" s="1"/>
  <c r="H36" i="1"/>
  <c r="G36" i="1"/>
  <c r="AO35" i="1"/>
  <c r="AN35" i="1"/>
  <c r="L35" i="1"/>
  <c r="K35" i="1"/>
  <c r="J35" i="1"/>
  <c r="H35" i="1"/>
  <c r="G35" i="1"/>
  <c r="F35" i="1"/>
  <c r="AO34" i="1"/>
  <c r="AN34" i="1"/>
  <c r="AE34" i="1"/>
  <c r="AG34" i="1" s="1"/>
  <c r="H34" i="1"/>
  <c r="G34" i="1"/>
  <c r="F34" i="1"/>
  <c r="E34" i="1"/>
  <c r="AO33" i="1"/>
  <c r="AN33" i="1"/>
  <c r="AP33" i="1" s="1"/>
  <c r="N33" i="1"/>
  <c r="M33" i="1"/>
  <c r="L33" i="1"/>
  <c r="K33" i="1"/>
  <c r="J33" i="1"/>
  <c r="H33" i="1"/>
  <c r="G33" i="1"/>
  <c r="F33" i="1"/>
  <c r="AQ32" i="1"/>
  <c r="AR32" i="1" s="1"/>
  <c r="AE32" i="1"/>
  <c r="AG32" i="1" s="1"/>
  <c r="H32" i="1"/>
  <c r="G32" i="1"/>
  <c r="AO31" i="1"/>
  <c r="AN31" i="1"/>
  <c r="N31" i="1"/>
  <c r="L31" i="1"/>
  <c r="J31" i="1"/>
  <c r="H31" i="1"/>
  <c r="G31" i="1"/>
  <c r="F31" i="1"/>
  <c r="AN30" i="1"/>
  <c r="AP30" i="1" s="1"/>
  <c r="AQ30" i="1" s="1"/>
  <c r="N30" i="1"/>
  <c r="AE30" i="1" s="1"/>
  <c r="AG30" i="1" s="1"/>
  <c r="H30" i="1"/>
  <c r="G30" i="1"/>
  <c r="F30" i="1"/>
  <c r="E30" i="1"/>
  <c r="AO29" i="1"/>
  <c r="AN29" i="1"/>
  <c r="AA29" i="1"/>
  <c r="H29" i="1" s="1"/>
  <c r="N29" i="1"/>
  <c r="G29" i="1"/>
  <c r="F29" i="1"/>
  <c r="AO28" i="1"/>
  <c r="AN28" i="1"/>
  <c r="N28" i="1"/>
  <c r="L28" i="1"/>
  <c r="AE28" i="1" s="1"/>
  <c r="AG28" i="1" s="1"/>
  <c r="H28" i="1"/>
  <c r="G28" i="1"/>
  <c r="F28" i="1"/>
  <c r="AO27" i="1"/>
  <c r="AN27" i="1"/>
  <c r="N27" i="1"/>
  <c r="L27" i="1"/>
  <c r="AE27" i="1" s="1"/>
  <c r="AG27" i="1" s="1"/>
  <c r="H27" i="1"/>
  <c r="G27" i="1"/>
  <c r="F27" i="1"/>
  <c r="E27" i="1"/>
  <c r="AO26" i="1"/>
  <c r="AN26" i="1"/>
  <c r="N26" i="1"/>
  <c r="L26" i="1"/>
  <c r="J26" i="1"/>
  <c r="AE26" i="1" s="1"/>
  <c r="AG26" i="1" s="1"/>
  <c r="H26" i="1"/>
  <c r="G26" i="1"/>
  <c r="F26" i="1"/>
  <c r="AO25" i="1"/>
  <c r="AN25" i="1"/>
  <c r="N25" i="1"/>
  <c r="L25" i="1"/>
  <c r="J25" i="1"/>
  <c r="AE25" i="1" s="1"/>
  <c r="AG25" i="1" s="1"/>
  <c r="H25" i="1"/>
  <c r="G25" i="1"/>
  <c r="F25" i="1"/>
  <c r="E25" i="1"/>
  <c r="AO24" i="1"/>
  <c r="AP24" i="1" s="1"/>
  <c r="AN24" i="1"/>
  <c r="N24" i="1"/>
  <c r="L24" i="1"/>
  <c r="K24" i="1"/>
  <c r="H24" i="1"/>
  <c r="G24" i="1"/>
  <c r="F24" i="1"/>
  <c r="AN23" i="1"/>
  <c r="AP23" i="1" s="1"/>
  <c r="AQ23" i="1" s="1"/>
  <c r="AR23" i="1" s="1"/>
  <c r="AE23" i="1"/>
  <c r="AG23" i="1" s="1"/>
  <c r="H23" i="1"/>
  <c r="G23" i="1"/>
  <c r="AO22" i="1"/>
  <c r="AN22" i="1"/>
  <c r="AE22" i="1"/>
  <c r="AG22" i="1" s="1"/>
  <c r="H22" i="1"/>
  <c r="G22" i="1"/>
  <c r="AO21" i="1"/>
  <c r="AN21" i="1"/>
  <c r="AP21" i="1" s="1"/>
  <c r="AE21" i="1"/>
  <c r="AG21" i="1" s="1"/>
  <c r="H21" i="1"/>
  <c r="G21" i="1"/>
  <c r="AN20" i="1"/>
  <c r="AP20" i="1" s="1"/>
  <c r="AE20" i="1"/>
  <c r="AG20" i="1" s="1"/>
  <c r="H20" i="1"/>
  <c r="G20" i="1"/>
  <c r="AQ19" i="1"/>
  <c r="AR19" i="1" s="1"/>
  <c r="AE19" i="1"/>
  <c r="AG19" i="1" s="1"/>
  <c r="H19" i="1"/>
  <c r="G19" i="1"/>
  <c r="AQ18" i="1"/>
  <c r="AR18" i="1" s="1"/>
  <c r="AE18" i="1"/>
  <c r="AG18" i="1" s="1"/>
  <c r="H18" i="1"/>
  <c r="G18" i="1"/>
  <c r="AO17" i="1"/>
  <c r="AP17" i="1" s="1"/>
  <c r="AE17" i="1"/>
  <c r="AG17" i="1" s="1"/>
  <c r="H17" i="1"/>
  <c r="G17" i="1"/>
  <c r="AO16" i="1"/>
  <c r="AN16" i="1"/>
  <c r="AE16" i="1"/>
  <c r="AG16" i="1" s="1"/>
  <c r="H16" i="1"/>
  <c r="G16" i="1"/>
  <c r="AO15" i="1"/>
  <c r="AN15" i="1"/>
  <c r="AE15" i="1"/>
  <c r="AG15" i="1" s="1"/>
  <c r="H15" i="1"/>
  <c r="G15" i="1"/>
  <c r="AO14" i="1"/>
  <c r="AN14" i="1"/>
  <c r="N14" i="1"/>
  <c r="L14" i="1"/>
  <c r="K14" i="1"/>
  <c r="J14" i="1"/>
  <c r="H14" i="1"/>
  <c r="G14" i="1"/>
  <c r="F14" i="1"/>
  <c r="AO13" i="1"/>
  <c r="AN13" i="1"/>
  <c r="N13" i="1"/>
  <c r="L13" i="1"/>
  <c r="K13" i="1"/>
  <c r="H13" i="1"/>
  <c r="G13" i="1"/>
  <c r="F13" i="1"/>
  <c r="AO12" i="1"/>
  <c r="AN12" i="1"/>
  <c r="N12" i="1"/>
  <c r="L12" i="1"/>
  <c r="H12" i="1"/>
  <c r="G12" i="1"/>
  <c r="F12" i="1"/>
  <c r="AO11" i="1"/>
  <c r="AN11" i="1"/>
  <c r="N11" i="1"/>
  <c r="L11" i="1"/>
  <c r="K11" i="1"/>
  <c r="J11" i="1"/>
  <c r="H11" i="1"/>
  <c r="G11" i="1"/>
  <c r="F11" i="1"/>
  <c r="AO10" i="1"/>
  <c r="AN10" i="1"/>
  <c r="N10" i="1"/>
  <c r="L10" i="1"/>
  <c r="K10" i="1"/>
  <c r="H10" i="1"/>
  <c r="G10" i="1"/>
  <c r="F10" i="1"/>
  <c r="AO9" i="1"/>
  <c r="AN9" i="1"/>
  <c r="N9" i="1"/>
  <c r="L9" i="1"/>
  <c r="H9" i="1"/>
  <c r="G9" i="1"/>
  <c r="F9" i="1"/>
  <c r="AO8" i="1"/>
  <c r="AN8" i="1"/>
  <c r="N8" i="1"/>
  <c r="L8" i="1"/>
  <c r="H8" i="1"/>
  <c r="G8" i="1"/>
  <c r="F8" i="1"/>
  <c r="AO7" i="1"/>
  <c r="AN7" i="1"/>
  <c r="N7" i="1"/>
  <c r="L7" i="1"/>
  <c r="K7" i="1"/>
  <c r="J7" i="1"/>
  <c r="H7" i="1"/>
  <c r="G7" i="1"/>
  <c r="F7" i="1"/>
  <c r="AO6" i="1"/>
  <c r="AN6" i="1"/>
  <c r="AP6" i="1" s="1"/>
  <c r="N6" i="1"/>
  <c r="L6" i="1"/>
  <c r="K6" i="1"/>
  <c r="J6" i="1"/>
  <c r="H6" i="1"/>
  <c r="G6" i="1"/>
  <c r="F6" i="1"/>
  <c r="AO5" i="1"/>
  <c r="AN5" i="1"/>
  <c r="N5" i="1"/>
  <c r="L5" i="1"/>
  <c r="H5" i="1"/>
  <c r="G5" i="1"/>
  <c r="F5" i="1"/>
  <c r="AO4" i="1"/>
  <c r="AN4" i="1"/>
  <c r="AP4" i="1" s="1"/>
  <c r="AQ4" i="1" s="1"/>
  <c r="AU4" i="1" s="1"/>
  <c r="AB4" i="1"/>
  <c r="H4" i="1" s="1"/>
  <c r="N4" i="1"/>
  <c r="L4" i="1"/>
  <c r="K4" i="1"/>
  <c r="J4" i="1"/>
  <c r="G4" i="1"/>
  <c r="F4" i="1"/>
  <c r="AO3" i="1"/>
  <c r="AN3" i="1"/>
  <c r="N3" i="1"/>
  <c r="L3" i="1"/>
  <c r="K3" i="1"/>
  <c r="J3" i="1"/>
  <c r="H3" i="1"/>
  <c r="G3" i="1"/>
  <c r="F3" i="1"/>
  <c r="AO2" i="1"/>
  <c r="AN2" i="1"/>
  <c r="N2" i="1"/>
  <c r="L2" i="1"/>
  <c r="K2" i="1"/>
  <c r="J2" i="1"/>
  <c r="H2" i="1"/>
  <c r="G2" i="1"/>
  <c r="F2" i="1"/>
  <c r="AG41" i="1" l="1"/>
  <c r="E8" i="1"/>
  <c r="AE29" i="1"/>
  <c r="AG29" i="1" s="1"/>
  <c r="AP14" i="1"/>
  <c r="AQ14" i="1" s="1"/>
  <c r="AP2" i="1"/>
  <c r="AQ2" i="1" s="1"/>
  <c r="AU2" i="1" s="1"/>
  <c r="AP26" i="1"/>
  <c r="AP27" i="1"/>
  <c r="AG40" i="1"/>
  <c r="AQ41" i="1"/>
  <c r="AR41" i="1" s="1"/>
  <c r="E14" i="1"/>
  <c r="AE31" i="1"/>
  <c r="AG31" i="1" s="1"/>
  <c r="E11" i="1"/>
  <c r="E2" i="1"/>
  <c r="AP25" i="1"/>
  <c r="E28" i="1"/>
  <c r="AE2" i="1"/>
  <c r="AG2" i="1" s="1"/>
  <c r="AR2" i="1"/>
  <c r="E9" i="1"/>
  <c r="AE13" i="1"/>
  <c r="AG13" i="1" s="1"/>
  <c r="AP12" i="1"/>
  <c r="E24" i="1"/>
  <c r="AP9" i="1"/>
  <c r="AP10" i="1"/>
  <c r="E12" i="1"/>
  <c r="E26" i="1"/>
  <c r="AE35" i="1"/>
  <c r="AG35" i="1" s="1"/>
  <c r="AP37" i="1"/>
  <c r="AQ37" i="1" s="1"/>
  <c r="AR37" i="1" s="1"/>
  <c r="E13" i="1"/>
  <c r="E3" i="1"/>
  <c r="E6" i="1"/>
  <c r="AE8" i="1"/>
  <c r="AG8" i="1" s="1"/>
  <c r="AP15" i="1"/>
  <c r="AQ15" i="1" s="1"/>
  <c r="AR15" i="1" s="1"/>
  <c r="E5" i="1"/>
  <c r="E7" i="1"/>
  <c r="AP11" i="1"/>
  <c r="AQ11" i="1" s="1"/>
  <c r="AR11" i="1" s="1"/>
  <c r="AE14" i="1"/>
  <c r="AG14" i="1" s="1"/>
  <c r="AP16" i="1"/>
  <c r="AQ16" i="1" s="1"/>
  <c r="AE24" i="1"/>
  <c r="AG24" i="1" s="1"/>
  <c r="AQ27" i="1"/>
  <c r="AR27" i="1" s="1"/>
  <c r="E29" i="1"/>
  <c r="E31" i="1"/>
  <c r="E35" i="1"/>
  <c r="AE9" i="1"/>
  <c r="AG9" i="1" s="1"/>
  <c r="AE11" i="1"/>
  <c r="AG11" i="1" s="1"/>
  <c r="AE12" i="1"/>
  <c r="AG12" i="1" s="1"/>
  <c r="AP3" i="1"/>
  <c r="AE4" i="1"/>
  <c r="AG4" i="1" s="1"/>
  <c r="AP5" i="1"/>
  <c r="AQ5" i="1" s="1"/>
  <c r="AU5" i="1" s="1"/>
  <c r="AP13" i="1"/>
  <c r="AE33" i="1"/>
  <c r="AG33" i="1" s="1"/>
  <c r="AP34" i="1"/>
  <c r="AP22" i="1"/>
  <c r="AP28" i="1"/>
  <c r="AQ28" i="1" s="1"/>
  <c r="AR28" i="1" s="1"/>
  <c r="AP31" i="1"/>
  <c r="AQ31" i="1" s="1"/>
  <c r="AR31" i="1" s="1"/>
  <c r="AP38" i="1"/>
  <c r="AQ38" i="1" s="1"/>
  <c r="AR38" i="1" s="1"/>
  <c r="AU15" i="1"/>
  <c r="AQ17" i="1"/>
  <c r="AE7" i="1"/>
  <c r="AG7" i="1" s="1"/>
  <c r="AE5" i="1"/>
  <c r="AG5" i="1" s="1"/>
  <c r="AE3" i="1"/>
  <c r="AG3" i="1" s="1"/>
  <c r="AR4" i="1"/>
  <c r="AQ6" i="1"/>
  <c r="E10" i="1"/>
  <c r="AE10" i="1"/>
  <c r="AG10" i="1" s="1"/>
  <c r="AQ24" i="1"/>
  <c r="AR24" i="1" s="1"/>
  <c r="AQ34" i="1"/>
  <c r="AR34" i="1" s="1"/>
  <c r="AQ25" i="1"/>
  <c r="AR25" i="1" s="1"/>
  <c r="AQ26" i="1"/>
  <c r="AR26" i="1" s="1"/>
  <c r="E4" i="1"/>
  <c r="AQ3" i="1"/>
  <c r="AE6" i="1"/>
  <c r="AG6" i="1" s="1"/>
  <c r="AP7" i="1"/>
  <c r="AP8" i="1"/>
  <c r="AQ9" i="1"/>
  <c r="AQ20" i="1"/>
  <c r="AR20" i="1" s="1"/>
  <c r="AQ40" i="1"/>
  <c r="AR40" i="1" s="1"/>
  <c r="AQ33" i="1"/>
  <c r="AR33" i="1" s="1"/>
  <c r="AQ36" i="1"/>
  <c r="AR36" i="1" s="1"/>
  <c r="AQ21" i="1"/>
  <c r="AR21" i="1" s="1"/>
  <c r="AP29" i="1"/>
  <c r="AR30" i="1"/>
  <c r="AK30" i="1" s="1"/>
  <c r="AP35" i="1"/>
  <c r="AP39" i="1"/>
  <c r="E33" i="1"/>
  <c r="AU11" i="1" l="1"/>
  <c r="AQ10" i="1"/>
  <c r="AQ12" i="1"/>
  <c r="AQ22" i="1"/>
  <c r="AR22" i="1" s="1"/>
  <c r="AR5" i="1"/>
  <c r="AQ13" i="1"/>
  <c r="AQ7" i="1"/>
  <c r="AR14" i="1"/>
  <c r="AU14" i="1"/>
  <c r="AQ35" i="1"/>
  <c r="AR35" i="1" s="1"/>
  <c r="AR16" i="1"/>
  <c r="AU16" i="1"/>
  <c r="AR17" i="1"/>
  <c r="AU17" i="1"/>
  <c r="AG44" i="1"/>
  <c r="AH2" i="1" s="1"/>
  <c r="AI2" i="1" s="1"/>
  <c r="AJ2" i="1" s="1"/>
  <c r="AK2" i="1" s="1"/>
  <c r="AQ29" i="1"/>
  <c r="AR29" i="1" s="1"/>
  <c r="AQ8" i="1"/>
  <c r="AQ39" i="1"/>
  <c r="AR39" i="1" s="1"/>
  <c r="AU3" i="1"/>
  <c r="AR3" i="1"/>
  <c r="AR6" i="1"/>
  <c r="AU6" i="1"/>
  <c r="AU9" i="1"/>
  <c r="AR9" i="1"/>
  <c r="AH3" i="1" l="1"/>
  <c r="AI3" i="1" s="1"/>
  <c r="AJ3" i="1" s="1"/>
  <c r="AR12" i="1"/>
  <c r="AU12" i="1"/>
  <c r="AR10" i="1"/>
  <c r="AU10" i="1"/>
  <c r="AU13" i="1"/>
  <c r="AR13" i="1"/>
  <c r="AH6" i="1"/>
  <c r="AI6" i="1" s="1"/>
  <c r="AJ6" i="1" s="1"/>
  <c r="AK6" i="1" s="1"/>
  <c r="AH10" i="1"/>
  <c r="AI10" i="1" s="1"/>
  <c r="AJ10" i="1" s="1"/>
  <c r="AH7" i="1"/>
  <c r="AI7" i="1" s="1"/>
  <c r="AJ7" i="1" s="1"/>
  <c r="AK3" i="1"/>
  <c r="AU8" i="1"/>
  <c r="AR8" i="1"/>
  <c r="AH37" i="1"/>
  <c r="AI37" i="1" s="1"/>
  <c r="AJ37" i="1" s="1"/>
  <c r="AH27" i="1"/>
  <c r="AI27" i="1" s="1"/>
  <c r="AJ27" i="1" s="1"/>
  <c r="AH21" i="1"/>
  <c r="AI21" i="1" s="1"/>
  <c r="AJ21" i="1" s="1"/>
  <c r="AH4" i="1"/>
  <c r="AI4" i="1" s="1"/>
  <c r="AJ4" i="1" s="1"/>
  <c r="AH40" i="1"/>
  <c r="AI40" i="1" s="1"/>
  <c r="AJ40" i="1" s="1"/>
  <c r="AH24" i="1"/>
  <c r="AI24" i="1" s="1"/>
  <c r="AJ24" i="1" s="1"/>
  <c r="AH14" i="1"/>
  <c r="AI14" i="1" s="1"/>
  <c r="AJ14" i="1" s="1"/>
  <c r="AH28" i="1"/>
  <c r="AI28" i="1" s="1"/>
  <c r="AJ28" i="1" s="1"/>
  <c r="AH36" i="1"/>
  <c r="AI36" i="1" s="1"/>
  <c r="AJ36" i="1" s="1"/>
  <c r="AH41" i="1"/>
  <c r="AI41" i="1" s="1"/>
  <c r="AJ41" i="1" s="1"/>
  <c r="AH34" i="1"/>
  <c r="AI34" i="1" s="1"/>
  <c r="AJ34" i="1" s="1"/>
  <c r="AH32" i="1"/>
  <c r="AI32" i="1" s="1"/>
  <c r="AJ32" i="1" s="1"/>
  <c r="AH18" i="1"/>
  <c r="AI18" i="1" s="1"/>
  <c r="AJ18" i="1" s="1"/>
  <c r="AH12" i="1"/>
  <c r="AI12" i="1" s="1"/>
  <c r="AJ12" i="1" s="1"/>
  <c r="AH33" i="1"/>
  <c r="AI33" i="1" s="1"/>
  <c r="AJ33" i="1" s="1"/>
  <c r="AH8" i="1"/>
  <c r="AI8" i="1" s="1"/>
  <c r="AJ8" i="1" s="1"/>
  <c r="AH30" i="1"/>
  <c r="AI30" i="1" s="1"/>
  <c r="AH26" i="1"/>
  <c r="AI26" i="1" s="1"/>
  <c r="AJ26" i="1" s="1"/>
  <c r="AH9" i="1"/>
  <c r="AI9" i="1" s="1"/>
  <c r="AJ9" i="1" s="1"/>
  <c r="AH16" i="1"/>
  <c r="AI16" i="1" s="1"/>
  <c r="AJ16" i="1" s="1"/>
  <c r="AH22" i="1"/>
  <c r="AI22" i="1" s="1"/>
  <c r="AJ22" i="1" s="1"/>
  <c r="AH42" i="1"/>
  <c r="AI42" i="1" s="1"/>
  <c r="AJ42" i="1" s="1"/>
  <c r="AH29" i="1"/>
  <c r="AI29" i="1" s="1"/>
  <c r="AJ29" i="1" s="1"/>
  <c r="AH43" i="1"/>
  <c r="AI43" i="1" s="1"/>
  <c r="AJ43" i="1" s="1"/>
  <c r="AH13" i="1"/>
  <c r="AI13" i="1" s="1"/>
  <c r="AJ13" i="1" s="1"/>
  <c r="AH17" i="1"/>
  <c r="AI17" i="1" s="1"/>
  <c r="AJ17" i="1" s="1"/>
  <c r="AH20" i="1"/>
  <c r="AI20" i="1" s="1"/>
  <c r="AJ20" i="1" s="1"/>
  <c r="AH38" i="1"/>
  <c r="AI38" i="1" s="1"/>
  <c r="AJ38" i="1" s="1"/>
  <c r="AH15" i="1"/>
  <c r="AI15" i="1" s="1"/>
  <c r="AJ15" i="1" s="1"/>
  <c r="AH31" i="1"/>
  <c r="AI31" i="1" s="1"/>
  <c r="AJ31" i="1" s="1"/>
  <c r="AH11" i="1"/>
  <c r="AI11" i="1" s="1"/>
  <c r="AJ11" i="1" s="1"/>
  <c r="AH19" i="1"/>
  <c r="AI19" i="1" s="1"/>
  <c r="AJ19" i="1" s="1"/>
  <c r="AH39" i="1"/>
  <c r="AI39" i="1" s="1"/>
  <c r="AJ39" i="1" s="1"/>
  <c r="AH25" i="1"/>
  <c r="AI25" i="1" s="1"/>
  <c r="AJ25" i="1" s="1"/>
  <c r="AH35" i="1"/>
  <c r="AI35" i="1" s="1"/>
  <c r="AJ35" i="1" s="1"/>
  <c r="AH23" i="1"/>
  <c r="AI23" i="1" s="1"/>
  <c r="AJ23" i="1" s="1"/>
  <c r="AH5" i="1"/>
  <c r="AI5" i="1" s="1"/>
  <c r="AJ5" i="1" s="1"/>
  <c r="AU7" i="1"/>
  <c r="AR7" i="1"/>
  <c r="AK7" i="1" l="1"/>
  <c r="AK10" i="1"/>
  <c r="AK35" i="1"/>
  <c r="AK11" i="1"/>
  <c r="AK20" i="1"/>
  <c r="AK29" i="1"/>
  <c r="AK9" i="1"/>
  <c r="AK33" i="1"/>
  <c r="AK34" i="1"/>
  <c r="AK14" i="1"/>
  <c r="AK21" i="1"/>
  <c r="AK23" i="1"/>
  <c r="AK38" i="1"/>
  <c r="AK16" i="1"/>
  <c r="AK8" i="1"/>
  <c r="AK28" i="1"/>
  <c r="AK25" i="1"/>
  <c r="AK31" i="1"/>
  <c r="AK17" i="1"/>
  <c r="AK26" i="1"/>
  <c r="AK12" i="1"/>
  <c r="AK41" i="1"/>
  <c r="AK24" i="1"/>
  <c r="AK27" i="1"/>
  <c r="AK43" i="1"/>
  <c r="AK4" i="1"/>
  <c r="AK5" i="1"/>
  <c r="AK39" i="1"/>
  <c r="AK15" i="1"/>
  <c r="AK13" i="1"/>
  <c r="AK22" i="1"/>
  <c r="AK36" i="1"/>
  <c r="AK40" i="1"/>
  <c r="AK37" i="1"/>
  <c r="AK44" i="1" l="1"/>
</calcChain>
</file>

<file path=xl/comments1.xml><?xml version="1.0" encoding="utf-8"?>
<comments xmlns="http://schemas.openxmlformats.org/spreadsheetml/2006/main">
  <authors>
    <author>Author</author>
  </authors>
  <commentList>
    <comment ref="AT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T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F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F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<sst xmlns="http://schemas.openxmlformats.org/spreadsheetml/2006/main" count="168" uniqueCount="153">
  <si>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</si>
  <si>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</si>
  <si>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</si>
  <si>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</si>
  <si>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საშუალო ხარჯვა 2017</t>
  </si>
  <si>
    <t>საშუალო ხარჯვა 2018 იანვარი-აგვისტო</t>
  </si>
  <si>
    <t>საშუალო ხარჯვა სექტემბერი-დეკემბერი</t>
  </si>
  <si>
    <t>საშუალო ხარჯვა 2019</t>
  </si>
  <si>
    <t>ივლისი 2017</t>
  </si>
  <si>
    <t>აგვისტო 2017</t>
  </si>
  <si>
    <t>სექტემბერი 2017</t>
  </si>
  <si>
    <t>ოქტომბერი 2017</t>
  </si>
  <si>
    <t>ნოემბერი 2017</t>
  </si>
  <si>
    <t>დეკემბერი 2017</t>
  </si>
  <si>
    <t>იანვარი 2018</t>
  </si>
  <si>
    <t>თებერვალი 2018</t>
  </si>
  <si>
    <t>მარტი 2018</t>
  </si>
  <si>
    <t>აპრილი 2018</t>
  </si>
  <si>
    <t>მაისი 2018</t>
  </si>
  <si>
    <t>ივნისი 2018</t>
  </si>
  <si>
    <t>ივლისი 2018</t>
  </si>
  <si>
    <t>აგვისტო 2018</t>
  </si>
  <si>
    <t>სექტემბერი 2018</t>
  </si>
  <si>
    <t>ოქტომბერი 2018</t>
  </si>
  <si>
    <t>ნოემბერი 2018</t>
  </si>
  <si>
    <t>დეკემბერი 2018</t>
  </si>
  <si>
    <t>იანვარი 2019</t>
  </si>
  <si>
    <t>ხარჯვა ბებეფიციარი – თებერვალი 2019</t>
  </si>
  <si>
    <t>ხარჯვა ბებეფიციარი – მარტი2019</t>
  </si>
  <si>
    <t>ხარჯვა ბებეფიციარი – აპრილი 2019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</si>
  <si>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</si>
  <si>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ნაშთი  საქართველო სრულად 21.05.2019მდგომარეობით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</si>
  <si>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</si>
  <si>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</si>
  <si>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</si>
  <si>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</si>
  <si>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</si>
  <si>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</si>
  <si>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</si>
  <si>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</si>
  <si>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</si>
  <si>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</si>
  <si>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</si>
  <si>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</si>
  <si>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</si>
  <si>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</si>
  <si>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</si>
  <si>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</si>
  <si>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</si>
  <si>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</si>
  <si>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</si>
  <si>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</si>
  <si>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</si>
  <si>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</si>
  <si>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</si>
  <si>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</si>
  <si>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</si>
  <si>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</si>
  <si>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</si>
  <si>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</si>
  <si>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</si>
  <si>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</si>
  <si>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</si>
  <si>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</si>
  <si>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</si>
  <si>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</si>
  <si>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</si>
  <si>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</si>
  <si>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</si>
  <si>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</si>
  <si>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</si>
  <si>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</si>
  <si>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</si>
  <si>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</si>
  <si>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</si>
  <si>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</si>
  <si>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</si>
  <si>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</si>
  <si>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</si>
  <si>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</si>
  <si>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</si>
  <si>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</si>
  <si>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</si>
  <si>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</si>
  <si>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</si>
  <si>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</si>
  <si>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</si>
  <si>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</si>
  <si>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</si>
  <si>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</si>
  <si>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</si>
  <si>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</si>
  <si>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</si>
  <si>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</si>
  <si>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</si>
  <si>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</si>
  <si>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</si>
  <si>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</si>
  <si>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</si>
  <si>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</si>
  <si>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</si>
  <si>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</si>
  <si>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</si>
  <si>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</si>
  <si>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</si>
  <si>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</si>
  <si>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</si>
  <si>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</si>
  <si>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</si>
  <si>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</si>
  <si>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</si>
  <si>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</si>
  <si>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</si>
  <si>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</si>
  <si>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</si>
  <si>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</si>
  <si>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</si>
  <si>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</si>
  <si>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</si>
  <si>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</si>
  <si>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</si>
  <si>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</si>
  <si>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</si>
  <si>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</si>
  <si>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</si>
  <si>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</si>
  <si>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</si>
  <si>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</si>
  <si>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</si>
  <si>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</si>
  <si>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</si>
  <si>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</si>
  <si>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</si>
  <si>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</si>
  <si>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</si>
  <si>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</si>
  <si>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</si>
  <si>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</si>
  <si>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</si>
  <si>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</si>
  <si>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</si>
  <si>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</si>
  <si>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</si>
  <si>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სულ დახარჯული მედიკამენტის რაოდენობა</t>
  </si>
  <si>
    <t xml:space="preserve">სულ დაახლოებითი ხარჯი (ლარი) </t>
  </si>
  <si>
    <t>კოეფიციენტი</t>
  </si>
  <si>
    <t>20 000 000 ლარის პირობითი განაწილება მედიკამენტების და არსებული ხარჯვის სურათის მიხედვით</t>
  </si>
  <si>
    <t>მედიკამენტების რაოდენობები 20 მილიონის პირობითად განაწილების ფარგლებში</t>
  </si>
  <si>
    <t>პაციენტზე მედიკამენტის ხარჯვა (საპენსიო ასაკი)-4 თვის მონაცემი</t>
  </si>
  <si>
    <t>პაციენტზე მედიკამენტის ხარჯვა (შშმპ) 4 თვის მონაცემი</t>
  </si>
  <si>
    <t>AO და AP საშუალო 4 თვის</t>
  </si>
  <si>
    <t>პაციენტების რაოდენობა?</t>
  </si>
  <si>
    <t>ბენეფიციარების საჭირო რაოდენობა მარაგის დასახარჯად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</si>
</sst>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.00000000_);_(* \(#,##0.00000000\);_(* &quot;-&quot;??_);_(@_)"/>
    <numFmt numFmtId="168" formatCode="_(* #,##0.0000000_);_(* \(#,##0.0000000\);_(* &quot;-&quot;??_);_(@_)"/>
    <numFmt numFmtId="169" formatCode="_(* #,##0.00000_);_(* \(#,##0.00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65">
    <xf numFmtId="0" fontId="0" fillId="0" borderId="0" xfId="0"/>
    <xf numFmtId="1" fontId="3" fillId="0" borderId="1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Fill="1" applyBorder="1" applyAlignment="1">
      <alignment vertical="center" textRotation="90"/>
    </xf>
    <xf numFmtId="0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1" applyNumberFormat="1" applyFont="1" applyFill="1" applyBorder="1" applyAlignment="1">
      <alignment horizontal="center" vertical="center" textRotation="90" wrapText="1"/>
    </xf>
    <xf numFmtId="43" fontId="4" fillId="0" borderId="1" xfId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/>
    <xf numFmtId="165" fontId="5" fillId="0" borderId="1" xfId="0" applyNumberFormat="1" applyFont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166" fontId="9" fillId="0" borderId="1" xfId="1" applyNumberFormat="1" applyFont="1" applyFill="1" applyBorder="1" applyAlignment="1"/>
    <xf numFmtId="164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/>
    <xf numFmtId="43" fontId="4" fillId="0" borderId="1" xfId="1" applyFont="1" applyFill="1" applyBorder="1" applyAlignment="1">
      <alignment horizontal="center" vertical="center"/>
    </xf>
    <xf numFmtId="43" fontId="0" fillId="0" borderId="0" xfId="1" applyFont="1" applyFill="1" applyBorder="1" applyAlignment="1"/>
    <xf numFmtId="166" fontId="5" fillId="0" borderId="1" xfId="1" applyNumberFormat="1" applyFont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/>
    <xf numFmtId="43" fontId="0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Border="1" applyAlignment="1">
      <alignment horizontal="center" vertical="center"/>
    </xf>
    <xf numFmtId="167" fontId="9" fillId="0" borderId="1" xfId="1" applyNumberFormat="1" applyFont="1" applyFill="1" applyBorder="1" applyAlignment="1"/>
    <xf numFmtId="43" fontId="4" fillId="4" borderId="1" xfId="1" applyFont="1" applyFill="1" applyBorder="1" applyAlignment="1">
      <alignment horizontal="center" vertical="center"/>
    </xf>
    <xf numFmtId="168" fontId="9" fillId="0" borderId="1" xfId="1" applyNumberFormat="1" applyFont="1" applyFill="1" applyBorder="1" applyAlignment="1"/>
    <xf numFmtId="165" fontId="5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/>
    <xf numFmtId="168" fontId="5" fillId="0" borderId="1" xfId="1" applyNumberFormat="1" applyFont="1" applyBorder="1" applyAlignment="1">
      <alignment horizontal="center" vertical="center" wrapText="1"/>
    </xf>
    <xf numFmtId="43" fontId="9" fillId="0" borderId="1" xfId="1" applyFont="1" applyFill="1" applyBorder="1" applyAlignment="1"/>
    <xf numFmtId="43" fontId="5" fillId="0" borderId="1" xfId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center" wrapText="1"/>
    </xf>
    <xf numFmtId="43" fontId="5" fillId="4" borderId="1" xfId="1" applyFont="1" applyFill="1" applyBorder="1" applyAlignment="1">
      <alignment horizontal="center" vertical="center" wrapText="1"/>
    </xf>
    <xf numFmtId="166" fontId="5" fillId="4" borderId="1" xfId="1" applyNumberFormat="1" applyFont="1" applyFill="1" applyBorder="1" applyAlignment="1">
      <alignment horizontal="center" vertical="center"/>
    </xf>
    <xf numFmtId="169" fontId="9" fillId="0" borderId="1" xfId="1" applyNumberFormat="1" applyFont="1" applyFill="1" applyBorder="1" applyAlignment="1"/>
    <xf numFmtId="169" fontId="5" fillId="4" borderId="1" xfId="1" applyNumberFormat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43" fontId="0" fillId="0" borderId="1" xfId="1" applyFont="1" applyFill="1" applyBorder="1" applyAlignment="1"/>
    <xf numFmtId="43" fontId="4" fillId="3" borderId="2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/>
    <xf numFmtId="0" fontId="10" fillId="0" borderId="1" xfId="0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5;&#4320;&#4317;&#4316;&#4312;&#4313;&#4323;&#4314;&#4312;%20&#4315;&#4308;&#4307;&#4312;&#4313;&#4304;&#4315;&#4308;&#4316;&#4322;&#4308;&#4305;&#4312;-&#4304;&#4304;&#4312;&#4318;%20-&#4321;&#4312;&#4304;&#4334;&#4314;&#4308;&#4308;&#4305;&#4312;/&#4333;&#4312;&#4304;&#4305;&#4308;&#4320;&#4304;&#4328;&#4309;&#4312;&#4314;&#4312;&#4321;%20&#4304;&#4316;&#4304;&#4314;&#4312;&#4310;&#4312;/&#4325;&#4320;&#4317;&#4316;&#4312;&#4313;&#4323;&#4314;&#4312;-&#4304;&#4316;&#4304;&#4314;&#4312;&#4310;&#4312;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ენეფიციარი"/>
      <sheetName val="Sheet15"/>
      <sheetName val="მედიკამენტები"/>
      <sheetName val="საპენსიო"/>
      <sheetName val="შშმპ"/>
      <sheetName val="გულ-სისხლძარღვთა-1"/>
      <sheetName val="გულ-სისხლძარღვთა-2"/>
      <sheetName val="დიაბეტი"/>
      <sheetName val="ფარისებრი"/>
      <sheetName val="ფილტვი"/>
      <sheetName val="პარკინსონი"/>
      <sheetName val="ეპილეფსია"/>
      <sheetName val="Sheet7"/>
      <sheetName val="ვადაგასული მედიკამენტები"/>
    </sheetNames>
    <sheetDataSet>
      <sheetData sheetId="0"/>
      <sheetData sheetId="1"/>
      <sheetData sheetId="2"/>
      <sheetData sheetId="3">
        <row r="2">
          <cell r="D2">
            <v>92.063670411985015</v>
          </cell>
        </row>
        <row r="3">
          <cell r="D3">
            <v>87.473209249858996</v>
          </cell>
        </row>
        <row r="4">
          <cell r="D4">
            <v>66.601855287569578</v>
          </cell>
        </row>
        <row r="6">
          <cell r="D6">
            <v>57.986040609137056</v>
          </cell>
        </row>
        <row r="7">
          <cell r="D7">
            <v>84.567441860465109</v>
          </cell>
        </row>
        <row r="8">
          <cell r="D8">
            <v>117.69565217391305</v>
          </cell>
        </row>
        <row r="9">
          <cell r="D9">
            <v>70.788461538461533</v>
          </cell>
        </row>
        <row r="10">
          <cell r="D10">
            <v>93.378066378066379</v>
          </cell>
        </row>
        <row r="11">
          <cell r="D11">
            <v>97.300604229607245</v>
          </cell>
        </row>
        <row r="12">
          <cell r="D12">
            <v>70.693345742205679</v>
          </cell>
        </row>
        <row r="13">
          <cell r="D13">
            <v>37.95945945945946</v>
          </cell>
        </row>
        <row r="14">
          <cell r="D14">
            <v>77.405156537753228</v>
          </cell>
        </row>
        <row r="15">
          <cell r="D15">
            <v>77.575757575757578</v>
          </cell>
        </row>
        <row r="16">
          <cell r="D16">
            <v>39.715504978662871</v>
          </cell>
        </row>
        <row r="17">
          <cell r="D17">
            <v>110.81858766233766</v>
          </cell>
        </row>
        <row r="18">
          <cell r="D18">
            <v>143.02982162764772</v>
          </cell>
        </row>
        <row r="19">
          <cell r="D19">
            <v>119.85441176470589</v>
          </cell>
        </row>
        <row r="20">
          <cell r="D20">
            <v>83.653382275825905</v>
          </cell>
        </row>
        <row r="21">
          <cell r="D21">
            <v>30</v>
          </cell>
        </row>
        <row r="22">
          <cell r="D22">
            <v>1.9014925373134328</v>
          </cell>
        </row>
        <row r="23">
          <cell r="D23">
            <v>1.9255583126550868</v>
          </cell>
        </row>
        <row r="24">
          <cell r="D24">
            <v>14.980392156862745</v>
          </cell>
        </row>
        <row r="25">
          <cell r="D25">
            <v>14.3</v>
          </cell>
        </row>
        <row r="26">
          <cell r="D26">
            <v>2.034782608695652</v>
          </cell>
        </row>
        <row r="27">
          <cell r="D27">
            <v>189.44615384615383</v>
          </cell>
        </row>
        <row r="28">
          <cell r="D28">
            <v>118.71681415929204</v>
          </cell>
        </row>
        <row r="29">
          <cell r="D29">
            <v>61</v>
          </cell>
        </row>
        <row r="30">
          <cell r="D30">
            <v>59.736842105263158</v>
          </cell>
        </row>
        <row r="31">
          <cell r="D31">
            <v>72.359649122807014</v>
          </cell>
        </row>
        <row r="32">
          <cell r="D32">
            <v>30</v>
          </cell>
        </row>
        <row r="33">
          <cell r="D33">
            <v>170.2</v>
          </cell>
        </row>
        <row r="34">
          <cell r="D34">
            <v>128.21739130434781</v>
          </cell>
        </row>
        <row r="35">
          <cell r="D35">
            <v>54.692307692307693</v>
          </cell>
        </row>
        <row r="36">
          <cell r="D36">
            <v>275</v>
          </cell>
        </row>
      </sheetData>
      <sheetData sheetId="4">
        <row r="2">
          <cell r="D2">
            <v>78.595238095238102</v>
          </cell>
        </row>
        <row r="3">
          <cell r="D3">
            <v>96.1875</v>
          </cell>
        </row>
        <row r="4">
          <cell r="D4">
            <v>62</v>
          </cell>
        </row>
        <row r="5">
          <cell r="D5">
            <v>87.5</v>
          </cell>
        </row>
        <row r="6">
          <cell r="D6">
            <v>99.151515151515156</v>
          </cell>
        </row>
        <row r="7">
          <cell r="D7">
            <v>74.837837837837839</v>
          </cell>
        </row>
        <row r="8">
          <cell r="D8">
            <v>32.18181818181818</v>
          </cell>
        </row>
        <row r="9">
          <cell r="D9">
            <v>58.153153153153156</v>
          </cell>
        </row>
        <row r="11">
          <cell r="D11">
            <v>127.57627118644068</v>
          </cell>
        </row>
        <row r="12">
          <cell r="D12">
            <v>103.70238095238095</v>
          </cell>
        </row>
        <row r="13">
          <cell r="D13">
            <v>39.30952380952381</v>
          </cell>
        </row>
        <row r="14">
          <cell r="D14">
            <v>82.042857142857144</v>
          </cell>
        </row>
        <row r="15">
          <cell r="D15">
            <v>115.875</v>
          </cell>
        </row>
        <row r="16">
          <cell r="D16">
            <v>117.43010752688173</v>
          </cell>
        </row>
        <row r="17">
          <cell r="D17">
            <v>80.355555555555554</v>
          </cell>
        </row>
        <row r="18">
          <cell r="D18">
            <v>115.16901408450704</v>
          </cell>
        </row>
        <row r="19">
          <cell r="D19">
            <v>146.33939393939394</v>
          </cell>
        </row>
        <row r="20">
          <cell r="D20">
            <v>85.0625</v>
          </cell>
        </row>
        <row r="21">
          <cell r="D21">
            <v>13.5</v>
          </cell>
        </row>
        <row r="22">
          <cell r="D22">
            <v>1.7933884297520661</v>
          </cell>
        </row>
        <row r="23">
          <cell r="D23">
            <v>2.0744680851063828</v>
          </cell>
        </row>
        <row r="24">
          <cell r="D24">
            <v>2.1153846153846154</v>
          </cell>
        </row>
        <row r="25">
          <cell r="D25">
            <v>9.5</v>
          </cell>
        </row>
        <row r="26">
          <cell r="D26">
            <v>71</v>
          </cell>
        </row>
        <row r="27">
          <cell r="D27">
            <v>133.17948717948718</v>
          </cell>
        </row>
        <row r="28">
          <cell r="D28">
            <v>30</v>
          </cell>
        </row>
        <row r="29">
          <cell r="D29">
            <v>92</v>
          </cell>
        </row>
        <row r="30">
          <cell r="D30">
            <v>90</v>
          </cell>
        </row>
        <row r="31">
          <cell r="D31">
            <v>65.428571428571431</v>
          </cell>
        </row>
        <row r="32">
          <cell r="D32">
            <v>135</v>
          </cell>
        </row>
        <row r="33">
          <cell r="D33">
            <v>214</v>
          </cell>
        </row>
        <row r="34">
          <cell r="D34">
            <v>100</v>
          </cell>
        </row>
        <row r="35">
          <cell r="D35">
            <v>110</v>
          </cell>
        </row>
        <row r="36">
          <cell r="D36">
            <v>38</v>
          </cell>
        </row>
        <row r="37">
          <cell r="D37">
            <v>368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4"/>
  <sheetViews>
    <sheetView tabSelected="1" topLeftCell="AJ34" workbookViewId="0">
      <selection activeCell="AK46" sqref="AK46"/>
    </sheetView>
  </sheetViews>
  <sheetFormatPr defaultRowHeight="15"/>
  <cols>
    <col min="1" max="1" width="4" style="9" customWidth="1"/>
    <col min="2" max="2" width="24.42578125" style="9" customWidth="1"/>
    <col min="3" max="3" width="19.85546875" style="9" customWidth="1"/>
    <col min="4" max="4" width="9.28515625" style="9" customWidth="1"/>
    <col min="5" max="8" width="11.85546875" style="58" customWidth="1"/>
    <col min="9" max="9" width="8.28515625" style="9" customWidth="1"/>
    <col min="10" max="10" width="9.140625" style="9"/>
    <col min="11" max="13" width="7.5703125" style="9" customWidth="1"/>
    <col min="14" max="14" width="10.28515625" style="9" customWidth="1"/>
    <col min="15" max="15" width="10.5703125" style="9" customWidth="1"/>
    <col min="16" max="16" width="11.140625" style="9" customWidth="1"/>
    <col min="17" max="17" width="10.42578125" style="9" customWidth="1"/>
    <col min="18" max="25" width="11" style="9" customWidth="1"/>
    <col min="26" max="27" width="11" style="54" customWidth="1"/>
    <col min="28" max="28" width="8.28515625" style="59" customWidth="1"/>
    <col min="29" max="29" width="9.85546875" style="59" customWidth="1"/>
    <col min="30" max="30" width="9.28515625" style="59" customWidth="1"/>
    <col min="31" max="31" width="15.28515625" style="9" customWidth="1"/>
    <col min="32" max="32" width="12.5703125" style="56" customWidth="1"/>
    <col min="33" max="33" width="20.7109375" style="20" customWidth="1"/>
    <col min="34" max="37" width="20.7109375" style="11" customWidth="1"/>
    <col min="39" max="39" width="38.5703125" style="9" customWidth="1"/>
    <col min="40" max="40" width="9.140625" style="13"/>
    <col min="41" max="44" width="9.140625" style="9"/>
    <col min="46" max="46" width="12.42578125" style="57" customWidth="1"/>
    <col min="47" max="47" width="16.7109375" style="9" customWidth="1"/>
    <col min="48" max="257" width="9.140625" style="9"/>
    <col min="258" max="258" width="4" style="9" customWidth="1"/>
    <col min="259" max="259" width="24.42578125" style="9" customWidth="1"/>
    <col min="260" max="260" width="19.85546875" style="9" customWidth="1"/>
    <col min="261" max="261" width="9.28515625" style="9" customWidth="1"/>
    <col min="262" max="262" width="10" style="9" customWidth="1"/>
    <col min="263" max="263" width="8.42578125" style="9" customWidth="1"/>
    <col min="264" max="264" width="12.28515625" style="9" customWidth="1"/>
    <col min="265" max="265" width="7.5703125" style="9" customWidth="1"/>
    <col min="266" max="266" width="7.85546875" style="9" customWidth="1"/>
    <col min="267" max="267" width="8.28515625" style="9" customWidth="1"/>
    <col min="268" max="268" width="9.140625" style="9"/>
    <col min="269" max="271" width="7.5703125" style="9" customWidth="1"/>
    <col min="272" max="272" width="10.28515625" style="9" customWidth="1"/>
    <col min="273" max="273" width="10.5703125" style="9" customWidth="1"/>
    <col min="274" max="274" width="11.140625" style="9" customWidth="1"/>
    <col min="275" max="275" width="10.42578125" style="9" customWidth="1"/>
    <col min="276" max="285" width="11" style="9" customWidth="1"/>
    <col min="286" max="286" width="9.140625" style="9" customWidth="1"/>
    <col min="287" max="287" width="6.85546875" style="9" customWidth="1"/>
    <col min="288" max="288" width="15" style="9" bestFit="1" customWidth="1"/>
    <col min="289" max="513" width="9.140625" style="9"/>
    <col min="514" max="514" width="4" style="9" customWidth="1"/>
    <col min="515" max="515" width="24.42578125" style="9" customWidth="1"/>
    <col min="516" max="516" width="19.85546875" style="9" customWidth="1"/>
    <col min="517" max="517" width="9.28515625" style="9" customWidth="1"/>
    <col min="518" max="518" width="10" style="9" customWidth="1"/>
    <col min="519" max="519" width="8.42578125" style="9" customWidth="1"/>
    <col min="520" max="520" width="12.28515625" style="9" customWidth="1"/>
    <col min="521" max="521" width="7.5703125" style="9" customWidth="1"/>
    <col min="522" max="522" width="7.85546875" style="9" customWidth="1"/>
    <col min="523" max="523" width="8.28515625" style="9" customWidth="1"/>
    <col min="524" max="524" width="9.140625" style="9"/>
    <col min="525" max="527" width="7.5703125" style="9" customWidth="1"/>
    <col min="528" max="528" width="10.28515625" style="9" customWidth="1"/>
    <col min="529" max="529" width="10.5703125" style="9" customWidth="1"/>
    <col min="530" max="530" width="11.140625" style="9" customWidth="1"/>
    <col min="531" max="531" width="10.42578125" style="9" customWidth="1"/>
    <col min="532" max="541" width="11" style="9" customWidth="1"/>
    <col min="542" max="542" width="9.140625" style="9" customWidth="1"/>
    <col min="543" max="543" width="6.85546875" style="9" customWidth="1"/>
    <col min="544" max="544" width="15" style="9" bestFit="1" customWidth="1"/>
    <col min="545" max="769" width="9.140625" style="9"/>
    <col min="770" max="770" width="4" style="9" customWidth="1"/>
    <col min="771" max="771" width="24.42578125" style="9" customWidth="1"/>
    <col min="772" max="772" width="19.85546875" style="9" customWidth="1"/>
    <col min="773" max="773" width="9.28515625" style="9" customWidth="1"/>
    <col min="774" max="774" width="10" style="9" customWidth="1"/>
    <col min="775" max="775" width="8.42578125" style="9" customWidth="1"/>
    <col min="776" max="776" width="12.28515625" style="9" customWidth="1"/>
    <col min="777" max="777" width="7.5703125" style="9" customWidth="1"/>
    <col min="778" max="778" width="7.85546875" style="9" customWidth="1"/>
    <col min="779" max="779" width="8.28515625" style="9" customWidth="1"/>
    <col min="780" max="780" width="9.140625" style="9"/>
    <col min="781" max="783" width="7.5703125" style="9" customWidth="1"/>
    <col min="784" max="784" width="10.28515625" style="9" customWidth="1"/>
    <col min="785" max="785" width="10.5703125" style="9" customWidth="1"/>
    <col min="786" max="786" width="11.140625" style="9" customWidth="1"/>
    <col min="787" max="787" width="10.42578125" style="9" customWidth="1"/>
    <col min="788" max="797" width="11" style="9" customWidth="1"/>
    <col min="798" max="798" width="9.140625" style="9" customWidth="1"/>
    <col min="799" max="799" width="6.85546875" style="9" customWidth="1"/>
    <col min="800" max="800" width="15" style="9" bestFit="1" customWidth="1"/>
    <col min="801" max="1025" width="9.140625" style="9"/>
    <col min="1026" max="1026" width="4" style="9" customWidth="1"/>
    <col min="1027" max="1027" width="24.42578125" style="9" customWidth="1"/>
    <col min="1028" max="1028" width="19.85546875" style="9" customWidth="1"/>
    <col min="1029" max="1029" width="9.28515625" style="9" customWidth="1"/>
    <col min="1030" max="1030" width="10" style="9" customWidth="1"/>
    <col min="1031" max="1031" width="8.42578125" style="9" customWidth="1"/>
    <col min="1032" max="1032" width="12.28515625" style="9" customWidth="1"/>
    <col min="1033" max="1033" width="7.5703125" style="9" customWidth="1"/>
    <col min="1034" max="1034" width="7.85546875" style="9" customWidth="1"/>
    <col min="1035" max="1035" width="8.28515625" style="9" customWidth="1"/>
    <col min="1036" max="1036" width="9.140625" style="9"/>
    <col min="1037" max="1039" width="7.5703125" style="9" customWidth="1"/>
    <col min="1040" max="1040" width="10.28515625" style="9" customWidth="1"/>
    <col min="1041" max="1041" width="10.5703125" style="9" customWidth="1"/>
    <col min="1042" max="1042" width="11.140625" style="9" customWidth="1"/>
    <col min="1043" max="1043" width="10.42578125" style="9" customWidth="1"/>
    <col min="1044" max="1053" width="11" style="9" customWidth="1"/>
    <col min="1054" max="1054" width="9.140625" style="9" customWidth="1"/>
    <col min="1055" max="1055" width="6.85546875" style="9" customWidth="1"/>
    <col min="1056" max="1056" width="15" style="9" bestFit="1" customWidth="1"/>
    <col min="1057" max="1281" width="9.140625" style="9"/>
    <col min="1282" max="1282" width="4" style="9" customWidth="1"/>
    <col min="1283" max="1283" width="24.42578125" style="9" customWidth="1"/>
    <col min="1284" max="1284" width="19.85546875" style="9" customWidth="1"/>
    <col min="1285" max="1285" width="9.28515625" style="9" customWidth="1"/>
    <col min="1286" max="1286" width="10" style="9" customWidth="1"/>
    <col min="1287" max="1287" width="8.42578125" style="9" customWidth="1"/>
    <col min="1288" max="1288" width="12.28515625" style="9" customWidth="1"/>
    <col min="1289" max="1289" width="7.5703125" style="9" customWidth="1"/>
    <col min="1290" max="1290" width="7.85546875" style="9" customWidth="1"/>
    <col min="1291" max="1291" width="8.28515625" style="9" customWidth="1"/>
    <col min="1292" max="1292" width="9.140625" style="9"/>
    <col min="1293" max="1295" width="7.5703125" style="9" customWidth="1"/>
    <col min="1296" max="1296" width="10.28515625" style="9" customWidth="1"/>
    <col min="1297" max="1297" width="10.5703125" style="9" customWidth="1"/>
    <col min="1298" max="1298" width="11.140625" style="9" customWidth="1"/>
    <col min="1299" max="1299" width="10.42578125" style="9" customWidth="1"/>
    <col min="1300" max="1309" width="11" style="9" customWidth="1"/>
    <col min="1310" max="1310" width="9.140625" style="9" customWidth="1"/>
    <col min="1311" max="1311" width="6.85546875" style="9" customWidth="1"/>
    <col min="1312" max="1312" width="15" style="9" bestFit="1" customWidth="1"/>
    <col min="1313" max="1537" width="9.140625" style="9"/>
    <col min="1538" max="1538" width="4" style="9" customWidth="1"/>
    <col min="1539" max="1539" width="24.42578125" style="9" customWidth="1"/>
    <col min="1540" max="1540" width="19.85546875" style="9" customWidth="1"/>
    <col min="1541" max="1541" width="9.28515625" style="9" customWidth="1"/>
    <col min="1542" max="1542" width="10" style="9" customWidth="1"/>
    <col min="1543" max="1543" width="8.42578125" style="9" customWidth="1"/>
    <col min="1544" max="1544" width="12.28515625" style="9" customWidth="1"/>
    <col min="1545" max="1545" width="7.5703125" style="9" customWidth="1"/>
    <col min="1546" max="1546" width="7.85546875" style="9" customWidth="1"/>
    <col min="1547" max="1547" width="8.28515625" style="9" customWidth="1"/>
    <col min="1548" max="1548" width="9.140625" style="9"/>
    <col min="1549" max="1551" width="7.5703125" style="9" customWidth="1"/>
    <col min="1552" max="1552" width="10.28515625" style="9" customWidth="1"/>
    <col min="1553" max="1553" width="10.5703125" style="9" customWidth="1"/>
    <col min="1554" max="1554" width="11.140625" style="9" customWidth="1"/>
    <col min="1555" max="1555" width="10.42578125" style="9" customWidth="1"/>
    <col min="1556" max="1565" width="11" style="9" customWidth="1"/>
    <col min="1566" max="1566" width="9.140625" style="9" customWidth="1"/>
    <col min="1567" max="1567" width="6.85546875" style="9" customWidth="1"/>
    <col min="1568" max="1568" width="15" style="9" bestFit="1" customWidth="1"/>
    <col min="1569" max="1793" width="9.140625" style="9"/>
    <col min="1794" max="1794" width="4" style="9" customWidth="1"/>
    <col min="1795" max="1795" width="24.42578125" style="9" customWidth="1"/>
    <col min="1796" max="1796" width="19.85546875" style="9" customWidth="1"/>
    <col min="1797" max="1797" width="9.28515625" style="9" customWidth="1"/>
    <col min="1798" max="1798" width="10" style="9" customWidth="1"/>
    <col min="1799" max="1799" width="8.42578125" style="9" customWidth="1"/>
    <col min="1800" max="1800" width="12.28515625" style="9" customWidth="1"/>
    <col min="1801" max="1801" width="7.5703125" style="9" customWidth="1"/>
    <col min="1802" max="1802" width="7.85546875" style="9" customWidth="1"/>
    <col min="1803" max="1803" width="8.28515625" style="9" customWidth="1"/>
    <col min="1804" max="1804" width="9.140625" style="9"/>
    <col min="1805" max="1807" width="7.5703125" style="9" customWidth="1"/>
    <col min="1808" max="1808" width="10.28515625" style="9" customWidth="1"/>
    <col min="1809" max="1809" width="10.5703125" style="9" customWidth="1"/>
    <col min="1810" max="1810" width="11.140625" style="9" customWidth="1"/>
    <col min="1811" max="1811" width="10.42578125" style="9" customWidth="1"/>
    <col min="1812" max="1821" width="11" style="9" customWidth="1"/>
    <col min="1822" max="1822" width="9.140625" style="9" customWidth="1"/>
    <col min="1823" max="1823" width="6.85546875" style="9" customWidth="1"/>
    <col min="1824" max="1824" width="15" style="9" bestFit="1" customWidth="1"/>
    <col min="1825" max="2049" width="9.140625" style="9"/>
    <col min="2050" max="2050" width="4" style="9" customWidth="1"/>
    <col min="2051" max="2051" width="24.42578125" style="9" customWidth="1"/>
    <col min="2052" max="2052" width="19.85546875" style="9" customWidth="1"/>
    <col min="2053" max="2053" width="9.28515625" style="9" customWidth="1"/>
    <col min="2054" max="2054" width="10" style="9" customWidth="1"/>
    <col min="2055" max="2055" width="8.42578125" style="9" customWidth="1"/>
    <col min="2056" max="2056" width="12.28515625" style="9" customWidth="1"/>
    <col min="2057" max="2057" width="7.5703125" style="9" customWidth="1"/>
    <col min="2058" max="2058" width="7.85546875" style="9" customWidth="1"/>
    <col min="2059" max="2059" width="8.28515625" style="9" customWidth="1"/>
    <col min="2060" max="2060" width="9.140625" style="9"/>
    <col min="2061" max="2063" width="7.5703125" style="9" customWidth="1"/>
    <col min="2064" max="2064" width="10.28515625" style="9" customWidth="1"/>
    <col min="2065" max="2065" width="10.5703125" style="9" customWidth="1"/>
    <col min="2066" max="2066" width="11.140625" style="9" customWidth="1"/>
    <col min="2067" max="2067" width="10.42578125" style="9" customWidth="1"/>
    <col min="2068" max="2077" width="11" style="9" customWidth="1"/>
    <col min="2078" max="2078" width="9.140625" style="9" customWidth="1"/>
    <col min="2079" max="2079" width="6.85546875" style="9" customWidth="1"/>
    <col min="2080" max="2080" width="15" style="9" bestFit="1" customWidth="1"/>
    <col min="2081" max="2305" width="9.140625" style="9"/>
    <col min="2306" max="2306" width="4" style="9" customWidth="1"/>
    <col min="2307" max="2307" width="24.42578125" style="9" customWidth="1"/>
    <col min="2308" max="2308" width="19.85546875" style="9" customWidth="1"/>
    <col min="2309" max="2309" width="9.28515625" style="9" customWidth="1"/>
    <col min="2310" max="2310" width="10" style="9" customWidth="1"/>
    <col min="2311" max="2311" width="8.42578125" style="9" customWidth="1"/>
    <col min="2312" max="2312" width="12.28515625" style="9" customWidth="1"/>
    <col min="2313" max="2313" width="7.5703125" style="9" customWidth="1"/>
    <col min="2314" max="2314" width="7.85546875" style="9" customWidth="1"/>
    <col min="2315" max="2315" width="8.28515625" style="9" customWidth="1"/>
    <col min="2316" max="2316" width="9.140625" style="9"/>
    <col min="2317" max="2319" width="7.5703125" style="9" customWidth="1"/>
    <col min="2320" max="2320" width="10.28515625" style="9" customWidth="1"/>
    <col min="2321" max="2321" width="10.5703125" style="9" customWidth="1"/>
    <col min="2322" max="2322" width="11.140625" style="9" customWidth="1"/>
    <col min="2323" max="2323" width="10.42578125" style="9" customWidth="1"/>
    <col min="2324" max="2333" width="11" style="9" customWidth="1"/>
    <col min="2334" max="2334" width="9.140625" style="9" customWidth="1"/>
    <col min="2335" max="2335" width="6.85546875" style="9" customWidth="1"/>
    <col min="2336" max="2336" width="15" style="9" bestFit="1" customWidth="1"/>
    <col min="2337" max="2561" width="9.140625" style="9"/>
    <col min="2562" max="2562" width="4" style="9" customWidth="1"/>
    <col min="2563" max="2563" width="24.42578125" style="9" customWidth="1"/>
    <col min="2564" max="2564" width="19.85546875" style="9" customWidth="1"/>
    <col min="2565" max="2565" width="9.28515625" style="9" customWidth="1"/>
    <col min="2566" max="2566" width="10" style="9" customWidth="1"/>
    <col min="2567" max="2567" width="8.42578125" style="9" customWidth="1"/>
    <col min="2568" max="2568" width="12.28515625" style="9" customWidth="1"/>
    <col min="2569" max="2569" width="7.5703125" style="9" customWidth="1"/>
    <col min="2570" max="2570" width="7.85546875" style="9" customWidth="1"/>
    <col min="2571" max="2571" width="8.28515625" style="9" customWidth="1"/>
    <col min="2572" max="2572" width="9.140625" style="9"/>
    <col min="2573" max="2575" width="7.5703125" style="9" customWidth="1"/>
    <col min="2576" max="2576" width="10.28515625" style="9" customWidth="1"/>
    <col min="2577" max="2577" width="10.5703125" style="9" customWidth="1"/>
    <col min="2578" max="2578" width="11.140625" style="9" customWidth="1"/>
    <col min="2579" max="2579" width="10.42578125" style="9" customWidth="1"/>
    <col min="2580" max="2589" width="11" style="9" customWidth="1"/>
    <col min="2590" max="2590" width="9.140625" style="9" customWidth="1"/>
    <col min="2591" max="2591" width="6.85546875" style="9" customWidth="1"/>
    <col min="2592" max="2592" width="15" style="9" bestFit="1" customWidth="1"/>
    <col min="2593" max="2817" width="9.140625" style="9"/>
    <col min="2818" max="2818" width="4" style="9" customWidth="1"/>
    <col min="2819" max="2819" width="24.42578125" style="9" customWidth="1"/>
    <col min="2820" max="2820" width="19.85546875" style="9" customWidth="1"/>
    <col min="2821" max="2821" width="9.28515625" style="9" customWidth="1"/>
    <col min="2822" max="2822" width="10" style="9" customWidth="1"/>
    <col min="2823" max="2823" width="8.42578125" style="9" customWidth="1"/>
    <col min="2824" max="2824" width="12.28515625" style="9" customWidth="1"/>
    <col min="2825" max="2825" width="7.5703125" style="9" customWidth="1"/>
    <col min="2826" max="2826" width="7.85546875" style="9" customWidth="1"/>
    <col min="2827" max="2827" width="8.28515625" style="9" customWidth="1"/>
    <col min="2828" max="2828" width="9.140625" style="9"/>
    <col min="2829" max="2831" width="7.5703125" style="9" customWidth="1"/>
    <col min="2832" max="2832" width="10.28515625" style="9" customWidth="1"/>
    <col min="2833" max="2833" width="10.5703125" style="9" customWidth="1"/>
    <col min="2834" max="2834" width="11.140625" style="9" customWidth="1"/>
    <col min="2835" max="2835" width="10.42578125" style="9" customWidth="1"/>
    <col min="2836" max="2845" width="11" style="9" customWidth="1"/>
    <col min="2846" max="2846" width="9.140625" style="9" customWidth="1"/>
    <col min="2847" max="2847" width="6.85546875" style="9" customWidth="1"/>
    <col min="2848" max="2848" width="15" style="9" bestFit="1" customWidth="1"/>
    <col min="2849" max="3073" width="9.140625" style="9"/>
    <col min="3074" max="3074" width="4" style="9" customWidth="1"/>
    <col min="3075" max="3075" width="24.42578125" style="9" customWidth="1"/>
    <col min="3076" max="3076" width="19.85546875" style="9" customWidth="1"/>
    <col min="3077" max="3077" width="9.28515625" style="9" customWidth="1"/>
    <col min="3078" max="3078" width="10" style="9" customWidth="1"/>
    <col min="3079" max="3079" width="8.42578125" style="9" customWidth="1"/>
    <col min="3080" max="3080" width="12.28515625" style="9" customWidth="1"/>
    <col min="3081" max="3081" width="7.5703125" style="9" customWidth="1"/>
    <col min="3082" max="3082" width="7.85546875" style="9" customWidth="1"/>
    <col min="3083" max="3083" width="8.28515625" style="9" customWidth="1"/>
    <col min="3084" max="3084" width="9.140625" style="9"/>
    <col min="3085" max="3087" width="7.5703125" style="9" customWidth="1"/>
    <col min="3088" max="3088" width="10.28515625" style="9" customWidth="1"/>
    <col min="3089" max="3089" width="10.5703125" style="9" customWidth="1"/>
    <col min="3090" max="3090" width="11.140625" style="9" customWidth="1"/>
    <col min="3091" max="3091" width="10.42578125" style="9" customWidth="1"/>
    <col min="3092" max="3101" width="11" style="9" customWidth="1"/>
    <col min="3102" max="3102" width="9.140625" style="9" customWidth="1"/>
    <col min="3103" max="3103" width="6.85546875" style="9" customWidth="1"/>
    <col min="3104" max="3104" width="15" style="9" bestFit="1" customWidth="1"/>
    <col min="3105" max="3329" width="9.140625" style="9"/>
    <col min="3330" max="3330" width="4" style="9" customWidth="1"/>
    <col min="3331" max="3331" width="24.42578125" style="9" customWidth="1"/>
    <col min="3332" max="3332" width="19.85546875" style="9" customWidth="1"/>
    <col min="3333" max="3333" width="9.28515625" style="9" customWidth="1"/>
    <col min="3334" max="3334" width="10" style="9" customWidth="1"/>
    <col min="3335" max="3335" width="8.42578125" style="9" customWidth="1"/>
    <col min="3336" max="3336" width="12.28515625" style="9" customWidth="1"/>
    <col min="3337" max="3337" width="7.5703125" style="9" customWidth="1"/>
    <col min="3338" max="3338" width="7.85546875" style="9" customWidth="1"/>
    <col min="3339" max="3339" width="8.28515625" style="9" customWidth="1"/>
    <col min="3340" max="3340" width="9.140625" style="9"/>
    <col min="3341" max="3343" width="7.5703125" style="9" customWidth="1"/>
    <col min="3344" max="3344" width="10.28515625" style="9" customWidth="1"/>
    <col min="3345" max="3345" width="10.5703125" style="9" customWidth="1"/>
    <col min="3346" max="3346" width="11.140625" style="9" customWidth="1"/>
    <col min="3347" max="3347" width="10.42578125" style="9" customWidth="1"/>
    <col min="3348" max="3357" width="11" style="9" customWidth="1"/>
    <col min="3358" max="3358" width="9.140625" style="9" customWidth="1"/>
    <col min="3359" max="3359" width="6.85546875" style="9" customWidth="1"/>
    <col min="3360" max="3360" width="15" style="9" bestFit="1" customWidth="1"/>
    <col min="3361" max="3585" width="9.140625" style="9"/>
    <col min="3586" max="3586" width="4" style="9" customWidth="1"/>
    <col min="3587" max="3587" width="24.42578125" style="9" customWidth="1"/>
    <col min="3588" max="3588" width="19.85546875" style="9" customWidth="1"/>
    <col min="3589" max="3589" width="9.28515625" style="9" customWidth="1"/>
    <col min="3590" max="3590" width="10" style="9" customWidth="1"/>
    <col min="3591" max="3591" width="8.42578125" style="9" customWidth="1"/>
    <col min="3592" max="3592" width="12.28515625" style="9" customWidth="1"/>
    <col min="3593" max="3593" width="7.5703125" style="9" customWidth="1"/>
    <col min="3594" max="3594" width="7.85546875" style="9" customWidth="1"/>
    <col min="3595" max="3595" width="8.28515625" style="9" customWidth="1"/>
    <col min="3596" max="3596" width="9.140625" style="9"/>
    <col min="3597" max="3599" width="7.5703125" style="9" customWidth="1"/>
    <col min="3600" max="3600" width="10.28515625" style="9" customWidth="1"/>
    <col min="3601" max="3601" width="10.5703125" style="9" customWidth="1"/>
    <col min="3602" max="3602" width="11.140625" style="9" customWidth="1"/>
    <col min="3603" max="3603" width="10.42578125" style="9" customWidth="1"/>
    <col min="3604" max="3613" width="11" style="9" customWidth="1"/>
    <col min="3614" max="3614" width="9.140625" style="9" customWidth="1"/>
    <col min="3615" max="3615" width="6.85546875" style="9" customWidth="1"/>
    <col min="3616" max="3616" width="15" style="9" bestFit="1" customWidth="1"/>
    <col min="3617" max="3841" width="9.140625" style="9"/>
    <col min="3842" max="3842" width="4" style="9" customWidth="1"/>
    <col min="3843" max="3843" width="24.42578125" style="9" customWidth="1"/>
    <col min="3844" max="3844" width="19.85546875" style="9" customWidth="1"/>
    <col min="3845" max="3845" width="9.28515625" style="9" customWidth="1"/>
    <col min="3846" max="3846" width="10" style="9" customWidth="1"/>
    <col min="3847" max="3847" width="8.42578125" style="9" customWidth="1"/>
    <col min="3848" max="3848" width="12.28515625" style="9" customWidth="1"/>
    <col min="3849" max="3849" width="7.5703125" style="9" customWidth="1"/>
    <col min="3850" max="3850" width="7.85546875" style="9" customWidth="1"/>
    <col min="3851" max="3851" width="8.28515625" style="9" customWidth="1"/>
    <col min="3852" max="3852" width="9.140625" style="9"/>
    <col min="3853" max="3855" width="7.5703125" style="9" customWidth="1"/>
    <col min="3856" max="3856" width="10.28515625" style="9" customWidth="1"/>
    <col min="3857" max="3857" width="10.5703125" style="9" customWidth="1"/>
    <col min="3858" max="3858" width="11.140625" style="9" customWidth="1"/>
    <col min="3859" max="3859" width="10.42578125" style="9" customWidth="1"/>
    <col min="3860" max="3869" width="11" style="9" customWidth="1"/>
    <col min="3870" max="3870" width="9.140625" style="9" customWidth="1"/>
    <col min="3871" max="3871" width="6.85546875" style="9" customWidth="1"/>
    <col min="3872" max="3872" width="15" style="9" bestFit="1" customWidth="1"/>
    <col min="3873" max="4097" width="9.140625" style="9"/>
    <col min="4098" max="4098" width="4" style="9" customWidth="1"/>
    <col min="4099" max="4099" width="24.42578125" style="9" customWidth="1"/>
    <col min="4100" max="4100" width="19.85546875" style="9" customWidth="1"/>
    <col min="4101" max="4101" width="9.28515625" style="9" customWidth="1"/>
    <col min="4102" max="4102" width="10" style="9" customWidth="1"/>
    <col min="4103" max="4103" width="8.42578125" style="9" customWidth="1"/>
    <col min="4104" max="4104" width="12.28515625" style="9" customWidth="1"/>
    <col min="4105" max="4105" width="7.5703125" style="9" customWidth="1"/>
    <col min="4106" max="4106" width="7.85546875" style="9" customWidth="1"/>
    <col min="4107" max="4107" width="8.28515625" style="9" customWidth="1"/>
    <col min="4108" max="4108" width="9.140625" style="9"/>
    <col min="4109" max="4111" width="7.5703125" style="9" customWidth="1"/>
    <col min="4112" max="4112" width="10.28515625" style="9" customWidth="1"/>
    <col min="4113" max="4113" width="10.5703125" style="9" customWidth="1"/>
    <col min="4114" max="4114" width="11.140625" style="9" customWidth="1"/>
    <col min="4115" max="4115" width="10.42578125" style="9" customWidth="1"/>
    <col min="4116" max="4125" width="11" style="9" customWidth="1"/>
    <col min="4126" max="4126" width="9.140625" style="9" customWidth="1"/>
    <col min="4127" max="4127" width="6.85546875" style="9" customWidth="1"/>
    <col min="4128" max="4128" width="15" style="9" bestFit="1" customWidth="1"/>
    <col min="4129" max="4353" width="9.140625" style="9"/>
    <col min="4354" max="4354" width="4" style="9" customWidth="1"/>
    <col min="4355" max="4355" width="24.42578125" style="9" customWidth="1"/>
    <col min="4356" max="4356" width="19.85546875" style="9" customWidth="1"/>
    <col min="4357" max="4357" width="9.28515625" style="9" customWidth="1"/>
    <col min="4358" max="4358" width="10" style="9" customWidth="1"/>
    <col min="4359" max="4359" width="8.42578125" style="9" customWidth="1"/>
    <col min="4360" max="4360" width="12.28515625" style="9" customWidth="1"/>
    <col min="4361" max="4361" width="7.5703125" style="9" customWidth="1"/>
    <col min="4362" max="4362" width="7.85546875" style="9" customWidth="1"/>
    <col min="4363" max="4363" width="8.28515625" style="9" customWidth="1"/>
    <col min="4364" max="4364" width="9.140625" style="9"/>
    <col min="4365" max="4367" width="7.5703125" style="9" customWidth="1"/>
    <col min="4368" max="4368" width="10.28515625" style="9" customWidth="1"/>
    <col min="4369" max="4369" width="10.5703125" style="9" customWidth="1"/>
    <col min="4370" max="4370" width="11.140625" style="9" customWidth="1"/>
    <col min="4371" max="4371" width="10.42578125" style="9" customWidth="1"/>
    <col min="4372" max="4381" width="11" style="9" customWidth="1"/>
    <col min="4382" max="4382" width="9.140625" style="9" customWidth="1"/>
    <col min="4383" max="4383" width="6.85546875" style="9" customWidth="1"/>
    <col min="4384" max="4384" width="15" style="9" bestFit="1" customWidth="1"/>
    <col min="4385" max="4609" width="9.140625" style="9"/>
    <col min="4610" max="4610" width="4" style="9" customWidth="1"/>
    <col min="4611" max="4611" width="24.42578125" style="9" customWidth="1"/>
    <col min="4612" max="4612" width="19.85546875" style="9" customWidth="1"/>
    <col min="4613" max="4613" width="9.28515625" style="9" customWidth="1"/>
    <col min="4614" max="4614" width="10" style="9" customWidth="1"/>
    <col min="4615" max="4615" width="8.42578125" style="9" customWidth="1"/>
    <col min="4616" max="4616" width="12.28515625" style="9" customWidth="1"/>
    <col min="4617" max="4617" width="7.5703125" style="9" customWidth="1"/>
    <col min="4618" max="4618" width="7.85546875" style="9" customWidth="1"/>
    <col min="4619" max="4619" width="8.28515625" style="9" customWidth="1"/>
    <col min="4620" max="4620" width="9.140625" style="9"/>
    <col min="4621" max="4623" width="7.5703125" style="9" customWidth="1"/>
    <col min="4624" max="4624" width="10.28515625" style="9" customWidth="1"/>
    <col min="4625" max="4625" width="10.5703125" style="9" customWidth="1"/>
    <col min="4626" max="4626" width="11.140625" style="9" customWidth="1"/>
    <col min="4627" max="4627" width="10.42578125" style="9" customWidth="1"/>
    <col min="4628" max="4637" width="11" style="9" customWidth="1"/>
    <col min="4638" max="4638" width="9.140625" style="9" customWidth="1"/>
    <col min="4639" max="4639" width="6.85546875" style="9" customWidth="1"/>
    <col min="4640" max="4640" width="15" style="9" bestFit="1" customWidth="1"/>
    <col min="4641" max="4865" width="9.140625" style="9"/>
    <col min="4866" max="4866" width="4" style="9" customWidth="1"/>
    <col min="4867" max="4867" width="24.42578125" style="9" customWidth="1"/>
    <col min="4868" max="4868" width="19.85546875" style="9" customWidth="1"/>
    <col min="4869" max="4869" width="9.28515625" style="9" customWidth="1"/>
    <col min="4870" max="4870" width="10" style="9" customWidth="1"/>
    <col min="4871" max="4871" width="8.42578125" style="9" customWidth="1"/>
    <col min="4872" max="4872" width="12.28515625" style="9" customWidth="1"/>
    <col min="4873" max="4873" width="7.5703125" style="9" customWidth="1"/>
    <col min="4874" max="4874" width="7.85546875" style="9" customWidth="1"/>
    <col min="4875" max="4875" width="8.28515625" style="9" customWidth="1"/>
    <col min="4876" max="4876" width="9.140625" style="9"/>
    <col min="4877" max="4879" width="7.5703125" style="9" customWidth="1"/>
    <col min="4880" max="4880" width="10.28515625" style="9" customWidth="1"/>
    <col min="4881" max="4881" width="10.5703125" style="9" customWidth="1"/>
    <col min="4882" max="4882" width="11.140625" style="9" customWidth="1"/>
    <col min="4883" max="4883" width="10.42578125" style="9" customWidth="1"/>
    <col min="4884" max="4893" width="11" style="9" customWidth="1"/>
    <col min="4894" max="4894" width="9.140625" style="9" customWidth="1"/>
    <col min="4895" max="4895" width="6.85546875" style="9" customWidth="1"/>
    <col min="4896" max="4896" width="15" style="9" bestFit="1" customWidth="1"/>
    <col min="4897" max="5121" width="9.140625" style="9"/>
    <col min="5122" max="5122" width="4" style="9" customWidth="1"/>
    <col min="5123" max="5123" width="24.42578125" style="9" customWidth="1"/>
    <col min="5124" max="5124" width="19.85546875" style="9" customWidth="1"/>
    <col min="5125" max="5125" width="9.28515625" style="9" customWidth="1"/>
    <col min="5126" max="5126" width="10" style="9" customWidth="1"/>
    <col min="5127" max="5127" width="8.42578125" style="9" customWidth="1"/>
    <col min="5128" max="5128" width="12.28515625" style="9" customWidth="1"/>
    <col min="5129" max="5129" width="7.5703125" style="9" customWidth="1"/>
    <col min="5130" max="5130" width="7.85546875" style="9" customWidth="1"/>
    <col min="5131" max="5131" width="8.28515625" style="9" customWidth="1"/>
    <col min="5132" max="5132" width="9.140625" style="9"/>
    <col min="5133" max="5135" width="7.5703125" style="9" customWidth="1"/>
    <col min="5136" max="5136" width="10.28515625" style="9" customWidth="1"/>
    <col min="5137" max="5137" width="10.5703125" style="9" customWidth="1"/>
    <col min="5138" max="5138" width="11.140625" style="9" customWidth="1"/>
    <col min="5139" max="5139" width="10.42578125" style="9" customWidth="1"/>
    <col min="5140" max="5149" width="11" style="9" customWidth="1"/>
    <col min="5150" max="5150" width="9.140625" style="9" customWidth="1"/>
    <col min="5151" max="5151" width="6.85546875" style="9" customWidth="1"/>
    <col min="5152" max="5152" width="15" style="9" bestFit="1" customWidth="1"/>
    <col min="5153" max="5377" width="9.140625" style="9"/>
    <col min="5378" max="5378" width="4" style="9" customWidth="1"/>
    <col min="5379" max="5379" width="24.42578125" style="9" customWidth="1"/>
    <col min="5380" max="5380" width="19.85546875" style="9" customWidth="1"/>
    <col min="5381" max="5381" width="9.28515625" style="9" customWidth="1"/>
    <col min="5382" max="5382" width="10" style="9" customWidth="1"/>
    <col min="5383" max="5383" width="8.42578125" style="9" customWidth="1"/>
    <col min="5384" max="5384" width="12.28515625" style="9" customWidth="1"/>
    <col min="5385" max="5385" width="7.5703125" style="9" customWidth="1"/>
    <col min="5386" max="5386" width="7.85546875" style="9" customWidth="1"/>
    <col min="5387" max="5387" width="8.28515625" style="9" customWidth="1"/>
    <col min="5388" max="5388" width="9.140625" style="9"/>
    <col min="5389" max="5391" width="7.5703125" style="9" customWidth="1"/>
    <col min="5392" max="5392" width="10.28515625" style="9" customWidth="1"/>
    <col min="5393" max="5393" width="10.5703125" style="9" customWidth="1"/>
    <col min="5394" max="5394" width="11.140625" style="9" customWidth="1"/>
    <col min="5395" max="5395" width="10.42578125" style="9" customWidth="1"/>
    <col min="5396" max="5405" width="11" style="9" customWidth="1"/>
    <col min="5406" max="5406" width="9.140625" style="9" customWidth="1"/>
    <col min="5407" max="5407" width="6.85546875" style="9" customWidth="1"/>
    <col min="5408" max="5408" width="15" style="9" bestFit="1" customWidth="1"/>
    <col min="5409" max="5633" width="9.140625" style="9"/>
    <col min="5634" max="5634" width="4" style="9" customWidth="1"/>
    <col min="5635" max="5635" width="24.42578125" style="9" customWidth="1"/>
    <col min="5636" max="5636" width="19.85546875" style="9" customWidth="1"/>
    <col min="5637" max="5637" width="9.28515625" style="9" customWidth="1"/>
    <col min="5638" max="5638" width="10" style="9" customWidth="1"/>
    <col min="5639" max="5639" width="8.42578125" style="9" customWidth="1"/>
    <col min="5640" max="5640" width="12.28515625" style="9" customWidth="1"/>
    <col min="5641" max="5641" width="7.5703125" style="9" customWidth="1"/>
    <col min="5642" max="5642" width="7.85546875" style="9" customWidth="1"/>
    <col min="5643" max="5643" width="8.28515625" style="9" customWidth="1"/>
    <col min="5644" max="5644" width="9.140625" style="9"/>
    <col min="5645" max="5647" width="7.5703125" style="9" customWidth="1"/>
    <col min="5648" max="5648" width="10.28515625" style="9" customWidth="1"/>
    <col min="5649" max="5649" width="10.5703125" style="9" customWidth="1"/>
    <col min="5650" max="5650" width="11.140625" style="9" customWidth="1"/>
    <col min="5651" max="5651" width="10.42578125" style="9" customWidth="1"/>
    <col min="5652" max="5661" width="11" style="9" customWidth="1"/>
    <col min="5662" max="5662" width="9.140625" style="9" customWidth="1"/>
    <col min="5663" max="5663" width="6.85546875" style="9" customWidth="1"/>
    <col min="5664" max="5664" width="15" style="9" bestFit="1" customWidth="1"/>
    <col min="5665" max="5889" width="9.140625" style="9"/>
    <col min="5890" max="5890" width="4" style="9" customWidth="1"/>
    <col min="5891" max="5891" width="24.42578125" style="9" customWidth="1"/>
    <col min="5892" max="5892" width="19.85546875" style="9" customWidth="1"/>
    <col min="5893" max="5893" width="9.28515625" style="9" customWidth="1"/>
    <col min="5894" max="5894" width="10" style="9" customWidth="1"/>
    <col min="5895" max="5895" width="8.42578125" style="9" customWidth="1"/>
    <col min="5896" max="5896" width="12.28515625" style="9" customWidth="1"/>
    <col min="5897" max="5897" width="7.5703125" style="9" customWidth="1"/>
    <col min="5898" max="5898" width="7.85546875" style="9" customWidth="1"/>
    <col min="5899" max="5899" width="8.28515625" style="9" customWidth="1"/>
    <col min="5900" max="5900" width="9.140625" style="9"/>
    <col min="5901" max="5903" width="7.5703125" style="9" customWidth="1"/>
    <col min="5904" max="5904" width="10.28515625" style="9" customWidth="1"/>
    <col min="5905" max="5905" width="10.5703125" style="9" customWidth="1"/>
    <col min="5906" max="5906" width="11.140625" style="9" customWidth="1"/>
    <col min="5907" max="5907" width="10.42578125" style="9" customWidth="1"/>
    <col min="5908" max="5917" width="11" style="9" customWidth="1"/>
    <col min="5918" max="5918" width="9.140625" style="9" customWidth="1"/>
    <col min="5919" max="5919" width="6.85546875" style="9" customWidth="1"/>
    <col min="5920" max="5920" width="15" style="9" bestFit="1" customWidth="1"/>
    <col min="5921" max="6145" width="9.140625" style="9"/>
    <col min="6146" max="6146" width="4" style="9" customWidth="1"/>
    <col min="6147" max="6147" width="24.42578125" style="9" customWidth="1"/>
    <col min="6148" max="6148" width="19.85546875" style="9" customWidth="1"/>
    <col min="6149" max="6149" width="9.28515625" style="9" customWidth="1"/>
    <col min="6150" max="6150" width="10" style="9" customWidth="1"/>
    <col min="6151" max="6151" width="8.42578125" style="9" customWidth="1"/>
    <col min="6152" max="6152" width="12.28515625" style="9" customWidth="1"/>
    <col min="6153" max="6153" width="7.5703125" style="9" customWidth="1"/>
    <col min="6154" max="6154" width="7.85546875" style="9" customWidth="1"/>
    <col min="6155" max="6155" width="8.28515625" style="9" customWidth="1"/>
    <col min="6156" max="6156" width="9.140625" style="9"/>
    <col min="6157" max="6159" width="7.5703125" style="9" customWidth="1"/>
    <col min="6160" max="6160" width="10.28515625" style="9" customWidth="1"/>
    <col min="6161" max="6161" width="10.5703125" style="9" customWidth="1"/>
    <col min="6162" max="6162" width="11.140625" style="9" customWidth="1"/>
    <col min="6163" max="6163" width="10.42578125" style="9" customWidth="1"/>
    <col min="6164" max="6173" width="11" style="9" customWidth="1"/>
    <col min="6174" max="6174" width="9.140625" style="9" customWidth="1"/>
    <col min="6175" max="6175" width="6.85546875" style="9" customWidth="1"/>
    <col min="6176" max="6176" width="15" style="9" bestFit="1" customWidth="1"/>
    <col min="6177" max="6401" width="9.140625" style="9"/>
    <col min="6402" max="6402" width="4" style="9" customWidth="1"/>
    <col min="6403" max="6403" width="24.42578125" style="9" customWidth="1"/>
    <col min="6404" max="6404" width="19.85546875" style="9" customWidth="1"/>
    <col min="6405" max="6405" width="9.28515625" style="9" customWidth="1"/>
    <col min="6406" max="6406" width="10" style="9" customWidth="1"/>
    <col min="6407" max="6407" width="8.42578125" style="9" customWidth="1"/>
    <col min="6408" max="6408" width="12.28515625" style="9" customWidth="1"/>
    <col min="6409" max="6409" width="7.5703125" style="9" customWidth="1"/>
    <col min="6410" max="6410" width="7.85546875" style="9" customWidth="1"/>
    <col min="6411" max="6411" width="8.28515625" style="9" customWidth="1"/>
    <col min="6412" max="6412" width="9.140625" style="9"/>
    <col min="6413" max="6415" width="7.5703125" style="9" customWidth="1"/>
    <col min="6416" max="6416" width="10.28515625" style="9" customWidth="1"/>
    <col min="6417" max="6417" width="10.5703125" style="9" customWidth="1"/>
    <col min="6418" max="6418" width="11.140625" style="9" customWidth="1"/>
    <col min="6419" max="6419" width="10.42578125" style="9" customWidth="1"/>
    <col min="6420" max="6429" width="11" style="9" customWidth="1"/>
    <col min="6430" max="6430" width="9.140625" style="9" customWidth="1"/>
    <col min="6431" max="6431" width="6.85546875" style="9" customWidth="1"/>
    <col min="6432" max="6432" width="15" style="9" bestFit="1" customWidth="1"/>
    <col min="6433" max="6657" width="9.140625" style="9"/>
    <col min="6658" max="6658" width="4" style="9" customWidth="1"/>
    <col min="6659" max="6659" width="24.42578125" style="9" customWidth="1"/>
    <col min="6660" max="6660" width="19.85546875" style="9" customWidth="1"/>
    <col min="6661" max="6661" width="9.28515625" style="9" customWidth="1"/>
    <col min="6662" max="6662" width="10" style="9" customWidth="1"/>
    <col min="6663" max="6663" width="8.42578125" style="9" customWidth="1"/>
    <col min="6664" max="6664" width="12.28515625" style="9" customWidth="1"/>
    <col min="6665" max="6665" width="7.5703125" style="9" customWidth="1"/>
    <col min="6666" max="6666" width="7.85546875" style="9" customWidth="1"/>
    <col min="6667" max="6667" width="8.28515625" style="9" customWidth="1"/>
    <col min="6668" max="6668" width="9.140625" style="9"/>
    <col min="6669" max="6671" width="7.5703125" style="9" customWidth="1"/>
    <col min="6672" max="6672" width="10.28515625" style="9" customWidth="1"/>
    <col min="6673" max="6673" width="10.5703125" style="9" customWidth="1"/>
    <col min="6674" max="6674" width="11.140625" style="9" customWidth="1"/>
    <col min="6675" max="6675" width="10.42578125" style="9" customWidth="1"/>
    <col min="6676" max="6685" width="11" style="9" customWidth="1"/>
    <col min="6686" max="6686" width="9.140625" style="9" customWidth="1"/>
    <col min="6687" max="6687" width="6.85546875" style="9" customWidth="1"/>
    <col min="6688" max="6688" width="15" style="9" bestFit="1" customWidth="1"/>
    <col min="6689" max="6913" width="9.140625" style="9"/>
    <col min="6914" max="6914" width="4" style="9" customWidth="1"/>
    <col min="6915" max="6915" width="24.42578125" style="9" customWidth="1"/>
    <col min="6916" max="6916" width="19.85546875" style="9" customWidth="1"/>
    <col min="6917" max="6917" width="9.28515625" style="9" customWidth="1"/>
    <col min="6918" max="6918" width="10" style="9" customWidth="1"/>
    <col min="6919" max="6919" width="8.42578125" style="9" customWidth="1"/>
    <col min="6920" max="6920" width="12.28515625" style="9" customWidth="1"/>
    <col min="6921" max="6921" width="7.5703125" style="9" customWidth="1"/>
    <col min="6922" max="6922" width="7.85546875" style="9" customWidth="1"/>
    <col min="6923" max="6923" width="8.28515625" style="9" customWidth="1"/>
    <col min="6924" max="6924" width="9.140625" style="9"/>
    <col min="6925" max="6927" width="7.5703125" style="9" customWidth="1"/>
    <col min="6928" max="6928" width="10.28515625" style="9" customWidth="1"/>
    <col min="6929" max="6929" width="10.5703125" style="9" customWidth="1"/>
    <col min="6930" max="6930" width="11.140625" style="9" customWidth="1"/>
    <col min="6931" max="6931" width="10.42578125" style="9" customWidth="1"/>
    <col min="6932" max="6941" width="11" style="9" customWidth="1"/>
    <col min="6942" max="6942" width="9.140625" style="9" customWidth="1"/>
    <col min="6943" max="6943" width="6.85546875" style="9" customWidth="1"/>
    <col min="6944" max="6944" width="15" style="9" bestFit="1" customWidth="1"/>
    <col min="6945" max="7169" width="9.140625" style="9"/>
    <col min="7170" max="7170" width="4" style="9" customWidth="1"/>
    <col min="7171" max="7171" width="24.42578125" style="9" customWidth="1"/>
    <col min="7172" max="7172" width="19.85546875" style="9" customWidth="1"/>
    <col min="7173" max="7173" width="9.28515625" style="9" customWidth="1"/>
    <col min="7174" max="7174" width="10" style="9" customWidth="1"/>
    <col min="7175" max="7175" width="8.42578125" style="9" customWidth="1"/>
    <col min="7176" max="7176" width="12.28515625" style="9" customWidth="1"/>
    <col min="7177" max="7177" width="7.5703125" style="9" customWidth="1"/>
    <col min="7178" max="7178" width="7.85546875" style="9" customWidth="1"/>
    <col min="7179" max="7179" width="8.28515625" style="9" customWidth="1"/>
    <col min="7180" max="7180" width="9.140625" style="9"/>
    <col min="7181" max="7183" width="7.5703125" style="9" customWidth="1"/>
    <col min="7184" max="7184" width="10.28515625" style="9" customWidth="1"/>
    <col min="7185" max="7185" width="10.5703125" style="9" customWidth="1"/>
    <col min="7186" max="7186" width="11.140625" style="9" customWidth="1"/>
    <col min="7187" max="7187" width="10.42578125" style="9" customWidth="1"/>
    <col min="7188" max="7197" width="11" style="9" customWidth="1"/>
    <col min="7198" max="7198" width="9.140625" style="9" customWidth="1"/>
    <col min="7199" max="7199" width="6.85546875" style="9" customWidth="1"/>
    <col min="7200" max="7200" width="15" style="9" bestFit="1" customWidth="1"/>
    <col min="7201" max="7425" width="9.140625" style="9"/>
    <col min="7426" max="7426" width="4" style="9" customWidth="1"/>
    <col min="7427" max="7427" width="24.42578125" style="9" customWidth="1"/>
    <col min="7428" max="7428" width="19.85546875" style="9" customWidth="1"/>
    <col min="7429" max="7429" width="9.28515625" style="9" customWidth="1"/>
    <col min="7430" max="7430" width="10" style="9" customWidth="1"/>
    <col min="7431" max="7431" width="8.42578125" style="9" customWidth="1"/>
    <col min="7432" max="7432" width="12.28515625" style="9" customWidth="1"/>
    <col min="7433" max="7433" width="7.5703125" style="9" customWidth="1"/>
    <col min="7434" max="7434" width="7.85546875" style="9" customWidth="1"/>
    <col min="7435" max="7435" width="8.28515625" style="9" customWidth="1"/>
    <col min="7436" max="7436" width="9.140625" style="9"/>
    <col min="7437" max="7439" width="7.5703125" style="9" customWidth="1"/>
    <col min="7440" max="7440" width="10.28515625" style="9" customWidth="1"/>
    <col min="7441" max="7441" width="10.5703125" style="9" customWidth="1"/>
    <col min="7442" max="7442" width="11.140625" style="9" customWidth="1"/>
    <col min="7443" max="7443" width="10.42578125" style="9" customWidth="1"/>
    <col min="7444" max="7453" width="11" style="9" customWidth="1"/>
    <col min="7454" max="7454" width="9.140625" style="9" customWidth="1"/>
    <col min="7455" max="7455" width="6.85546875" style="9" customWidth="1"/>
    <col min="7456" max="7456" width="15" style="9" bestFit="1" customWidth="1"/>
    <col min="7457" max="7681" width="9.140625" style="9"/>
    <col min="7682" max="7682" width="4" style="9" customWidth="1"/>
    <col min="7683" max="7683" width="24.42578125" style="9" customWidth="1"/>
    <col min="7684" max="7684" width="19.85546875" style="9" customWidth="1"/>
    <col min="7685" max="7685" width="9.28515625" style="9" customWidth="1"/>
    <col min="7686" max="7686" width="10" style="9" customWidth="1"/>
    <col min="7687" max="7687" width="8.42578125" style="9" customWidth="1"/>
    <col min="7688" max="7688" width="12.28515625" style="9" customWidth="1"/>
    <col min="7689" max="7689" width="7.5703125" style="9" customWidth="1"/>
    <col min="7690" max="7690" width="7.85546875" style="9" customWidth="1"/>
    <col min="7691" max="7691" width="8.28515625" style="9" customWidth="1"/>
    <col min="7692" max="7692" width="9.140625" style="9"/>
    <col min="7693" max="7695" width="7.5703125" style="9" customWidth="1"/>
    <col min="7696" max="7696" width="10.28515625" style="9" customWidth="1"/>
    <col min="7697" max="7697" width="10.5703125" style="9" customWidth="1"/>
    <col min="7698" max="7698" width="11.140625" style="9" customWidth="1"/>
    <col min="7699" max="7699" width="10.42578125" style="9" customWidth="1"/>
    <col min="7700" max="7709" width="11" style="9" customWidth="1"/>
    <col min="7710" max="7710" width="9.140625" style="9" customWidth="1"/>
    <col min="7711" max="7711" width="6.85546875" style="9" customWidth="1"/>
    <col min="7712" max="7712" width="15" style="9" bestFit="1" customWidth="1"/>
    <col min="7713" max="7937" width="9.140625" style="9"/>
    <col min="7938" max="7938" width="4" style="9" customWidth="1"/>
    <col min="7939" max="7939" width="24.42578125" style="9" customWidth="1"/>
    <col min="7940" max="7940" width="19.85546875" style="9" customWidth="1"/>
    <col min="7941" max="7941" width="9.28515625" style="9" customWidth="1"/>
    <col min="7942" max="7942" width="10" style="9" customWidth="1"/>
    <col min="7943" max="7943" width="8.42578125" style="9" customWidth="1"/>
    <col min="7944" max="7944" width="12.28515625" style="9" customWidth="1"/>
    <col min="7945" max="7945" width="7.5703125" style="9" customWidth="1"/>
    <col min="7946" max="7946" width="7.85546875" style="9" customWidth="1"/>
    <col min="7947" max="7947" width="8.28515625" style="9" customWidth="1"/>
    <col min="7948" max="7948" width="9.140625" style="9"/>
    <col min="7949" max="7951" width="7.5703125" style="9" customWidth="1"/>
    <col min="7952" max="7952" width="10.28515625" style="9" customWidth="1"/>
    <col min="7953" max="7953" width="10.5703125" style="9" customWidth="1"/>
    <col min="7954" max="7954" width="11.140625" style="9" customWidth="1"/>
    <col min="7955" max="7955" width="10.42578125" style="9" customWidth="1"/>
    <col min="7956" max="7965" width="11" style="9" customWidth="1"/>
    <col min="7966" max="7966" width="9.140625" style="9" customWidth="1"/>
    <col min="7967" max="7967" width="6.85546875" style="9" customWidth="1"/>
    <col min="7968" max="7968" width="15" style="9" bestFit="1" customWidth="1"/>
    <col min="7969" max="8193" width="9.140625" style="9"/>
    <col min="8194" max="8194" width="4" style="9" customWidth="1"/>
    <col min="8195" max="8195" width="24.42578125" style="9" customWidth="1"/>
    <col min="8196" max="8196" width="19.85546875" style="9" customWidth="1"/>
    <col min="8197" max="8197" width="9.28515625" style="9" customWidth="1"/>
    <col min="8198" max="8198" width="10" style="9" customWidth="1"/>
    <col min="8199" max="8199" width="8.42578125" style="9" customWidth="1"/>
    <col min="8200" max="8200" width="12.28515625" style="9" customWidth="1"/>
    <col min="8201" max="8201" width="7.5703125" style="9" customWidth="1"/>
    <col min="8202" max="8202" width="7.85546875" style="9" customWidth="1"/>
    <col min="8203" max="8203" width="8.28515625" style="9" customWidth="1"/>
    <col min="8204" max="8204" width="9.140625" style="9"/>
    <col min="8205" max="8207" width="7.5703125" style="9" customWidth="1"/>
    <col min="8208" max="8208" width="10.28515625" style="9" customWidth="1"/>
    <col min="8209" max="8209" width="10.5703125" style="9" customWidth="1"/>
    <col min="8210" max="8210" width="11.140625" style="9" customWidth="1"/>
    <col min="8211" max="8211" width="10.42578125" style="9" customWidth="1"/>
    <col min="8212" max="8221" width="11" style="9" customWidth="1"/>
    <col min="8222" max="8222" width="9.140625" style="9" customWidth="1"/>
    <col min="8223" max="8223" width="6.85546875" style="9" customWidth="1"/>
    <col min="8224" max="8224" width="15" style="9" bestFit="1" customWidth="1"/>
    <col min="8225" max="8449" width="9.140625" style="9"/>
    <col min="8450" max="8450" width="4" style="9" customWidth="1"/>
    <col min="8451" max="8451" width="24.42578125" style="9" customWidth="1"/>
    <col min="8452" max="8452" width="19.85546875" style="9" customWidth="1"/>
    <col min="8453" max="8453" width="9.28515625" style="9" customWidth="1"/>
    <col min="8454" max="8454" width="10" style="9" customWidth="1"/>
    <col min="8455" max="8455" width="8.42578125" style="9" customWidth="1"/>
    <col min="8456" max="8456" width="12.28515625" style="9" customWidth="1"/>
    <col min="8457" max="8457" width="7.5703125" style="9" customWidth="1"/>
    <col min="8458" max="8458" width="7.85546875" style="9" customWidth="1"/>
    <col min="8459" max="8459" width="8.28515625" style="9" customWidth="1"/>
    <col min="8460" max="8460" width="9.140625" style="9"/>
    <col min="8461" max="8463" width="7.5703125" style="9" customWidth="1"/>
    <col min="8464" max="8464" width="10.28515625" style="9" customWidth="1"/>
    <col min="8465" max="8465" width="10.5703125" style="9" customWidth="1"/>
    <col min="8466" max="8466" width="11.140625" style="9" customWidth="1"/>
    <col min="8467" max="8467" width="10.42578125" style="9" customWidth="1"/>
    <col min="8468" max="8477" width="11" style="9" customWidth="1"/>
    <col min="8478" max="8478" width="9.140625" style="9" customWidth="1"/>
    <col min="8479" max="8479" width="6.85546875" style="9" customWidth="1"/>
    <col min="8480" max="8480" width="15" style="9" bestFit="1" customWidth="1"/>
    <col min="8481" max="8705" width="9.140625" style="9"/>
    <col min="8706" max="8706" width="4" style="9" customWidth="1"/>
    <col min="8707" max="8707" width="24.42578125" style="9" customWidth="1"/>
    <col min="8708" max="8708" width="19.85546875" style="9" customWidth="1"/>
    <col min="8709" max="8709" width="9.28515625" style="9" customWidth="1"/>
    <col min="8710" max="8710" width="10" style="9" customWidth="1"/>
    <col min="8711" max="8711" width="8.42578125" style="9" customWidth="1"/>
    <col min="8712" max="8712" width="12.28515625" style="9" customWidth="1"/>
    <col min="8713" max="8713" width="7.5703125" style="9" customWidth="1"/>
    <col min="8714" max="8714" width="7.85546875" style="9" customWidth="1"/>
    <col min="8715" max="8715" width="8.28515625" style="9" customWidth="1"/>
    <col min="8716" max="8716" width="9.140625" style="9"/>
    <col min="8717" max="8719" width="7.5703125" style="9" customWidth="1"/>
    <col min="8720" max="8720" width="10.28515625" style="9" customWidth="1"/>
    <col min="8721" max="8721" width="10.5703125" style="9" customWidth="1"/>
    <col min="8722" max="8722" width="11.140625" style="9" customWidth="1"/>
    <col min="8723" max="8723" width="10.42578125" style="9" customWidth="1"/>
    <col min="8724" max="8733" width="11" style="9" customWidth="1"/>
    <col min="8734" max="8734" width="9.140625" style="9" customWidth="1"/>
    <col min="8735" max="8735" width="6.85546875" style="9" customWidth="1"/>
    <col min="8736" max="8736" width="15" style="9" bestFit="1" customWidth="1"/>
    <col min="8737" max="8961" width="9.140625" style="9"/>
    <col min="8962" max="8962" width="4" style="9" customWidth="1"/>
    <col min="8963" max="8963" width="24.42578125" style="9" customWidth="1"/>
    <col min="8964" max="8964" width="19.85546875" style="9" customWidth="1"/>
    <col min="8965" max="8965" width="9.28515625" style="9" customWidth="1"/>
    <col min="8966" max="8966" width="10" style="9" customWidth="1"/>
    <col min="8967" max="8967" width="8.42578125" style="9" customWidth="1"/>
    <col min="8968" max="8968" width="12.28515625" style="9" customWidth="1"/>
    <col min="8969" max="8969" width="7.5703125" style="9" customWidth="1"/>
    <col min="8970" max="8970" width="7.85546875" style="9" customWidth="1"/>
    <col min="8971" max="8971" width="8.28515625" style="9" customWidth="1"/>
    <col min="8972" max="8972" width="9.140625" style="9"/>
    <col min="8973" max="8975" width="7.5703125" style="9" customWidth="1"/>
    <col min="8976" max="8976" width="10.28515625" style="9" customWidth="1"/>
    <col min="8977" max="8977" width="10.5703125" style="9" customWidth="1"/>
    <col min="8978" max="8978" width="11.140625" style="9" customWidth="1"/>
    <col min="8979" max="8979" width="10.42578125" style="9" customWidth="1"/>
    <col min="8980" max="8989" width="11" style="9" customWidth="1"/>
    <col min="8990" max="8990" width="9.140625" style="9" customWidth="1"/>
    <col min="8991" max="8991" width="6.85546875" style="9" customWidth="1"/>
    <col min="8992" max="8992" width="15" style="9" bestFit="1" customWidth="1"/>
    <col min="8993" max="9217" width="9.140625" style="9"/>
    <col min="9218" max="9218" width="4" style="9" customWidth="1"/>
    <col min="9219" max="9219" width="24.42578125" style="9" customWidth="1"/>
    <col min="9220" max="9220" width="19.85546875" style="9" customWidth="1"/>
    <col min="9221" max="9221" width="9.28515625" style="9" customWidth="1"/>
    <col min="9222" max="9222" width="10" style="9" customWidth="1"/>
    <col min="9223" max="9223" width="8.42578125" style="9" customWidth="1"/>
    <col min="9224" max="9224" width="12.28515625" style="9" customWidth="1"/>
    <col min="9225" max="9225" width="7.5703125" style="9" customWidth="1"/>
    <col min="9226" max="9226" width="7.85546875" style="9" customWidth="1"/>
    <col min="9227" max="9227" width="8.28515625" style="9" customWidth="1"/>
    <col min="9228" max="9228" width="9.140625" style="9"/>
    <col min="9229" max="9231" width="7.5703125" style="9" customWidth="1"/>
    <col min="9232" max="9232" width="10.28515625" style="9" customWidth="1"/>
    <col min="9233" max="9233" width="10.5703125" style="9" customWidth="1"/>
    <col min="9234" max="9234" width="11.140625" style="9" customWidth="1"/>
    <col min="9235" max="9235" width="10.42578125" style="9" customWidth="1"/>
    <col min="9236" max="9245" width="11" style="9" customWidth="1"/>
    <col min="9246" max="9246" width="9.140625" style="9" customWidth="1"/>
    <col min="9247" max="9247" width="6.85546875" style="9" customWidth="1"/>
    <col min="9248" max="9248" width="15" style="9" bestFit="1" customWidth="1"/>
    <col min="9249" max="9473" width="9.140625" style="9"/>
    <col min="9474" max="9474" width="4" style="9" customWidth="1"/>
    <col min="9475" max="9475" width="24.42578125" style="9" customWidth="1"/>
    <col min="9476" max="9476" width="19.85546875" style="9" customWidth="1"/>
    <col min="9477" max="9477" width="9.28515625" style="9" customWidth="1"/>
    <col min="9478" max="9478" width="10" style="9" customWidth="1"/>
    <col min="9479" max="9479" width="8.42578125" style="9" customWidth="1"/>
    <col min="9480" max="9480" width="12.28515625" style="9" customWidth="1"/>
    <col min="9481" max="9481" width="7.5703125" style="9" customWidth="1"/>
    <col min="9482" max="9482" width="7.85546875" style="9" customWidth="1"/>
    <col min="9483" max="9483" width="8.28515625" style="9" customWidth="1"/>
    <col min="9484" max="9484" width="9.140625" style="9"/>
    <col min="9485" max="9487" width="7.5703125" style="9" customWidth="1"/>
    <col min="9488" max="9488" width="10.28515625" style="9" customWidth="1"/>
    <col min="9489" max="9489" width="10.5703125" style="9" customWidth="1"/>
    <col min="9490" max="9490" width="11.140625" style="9" customWidth="1"/>
    <col min="9491" max="9491" width="10.42578125" style="9" customWidth="1"/>
    <col min="9492" max="9501" width="11" style="9" customWidth="1"/>
    <col min="9502" max="9502" width="9.140625" style="9" customWidth="1"/>
    <col min="9503" max="9503" width="6.85546875" style="9" customWidth="1"/>
    <col min="9504" max="9504" width="15" style="9" bestFit="1" customWidth="1"/>
    <col min="9505" max="9729" width="9.140625" style="9"/>
    <col min="9730" max="9730" width="4" style="9" customWidth="1"/>
    <col min="9731" max="9731" width="24.42578125" style="9" customWidth="1"/>
    <col min="9732" max="9732" width="19.85546875" style="9" customWidth="1"/>
    <col min="9733" max="9733" width="9.28515625" style="9" customWidth="1"/>
    <col min="9734" max="9734" width="10" style="9" customWidth="1"/>
    <col min="9735" max="9735" width="8.42578125" style="9" customWidth="1"/>
    <col min="9736" max="9736" width="12.28515625" style="9" customWidth="1"/>
    <col min="9737" max="9737" width="7.5703125" style="9" customWidth="1"/>
    <col min="9738" max="9738" width="7.85546875" style="9" customWidth="1"/>
    <col min="9739" max="9739" width="8.28515625" style="9" customWidth="1"/>
    <col min="9740" max="9740" width="9.140625" style="9"/>
    <col min="9741" max="9743" width="7.5703125" style="9" customWidth="1"/>
    <col min="9744" max="9744" width="10.28515625" style="9" customWidth="1"/>
    <col min="9745" max="9745" width="10.5703125" style="9" customWidth="1"/>
    <col min="9746" max="9746" width="11.140625" style="9" customWidth="1"/>
    <col min="9747" max="9747" width="10.42578125" style="9" customWidth="1"/>
    <col min="9748" max="9757" width="11" style="9" customWidth="1"/>
    <col min="9758" max="9758" width="9.140625" style="9" customWidth="1"/>
    <col min="9759" max="9759" width="6.85546875" style="9" customWidth="1"/>
    <col min="9760" max="9760" width="15" style="9" bestFit="1" customWidth="1"/>
    <col min="9761" max="9985" width="9.140625" style="9"/>
    <col min="9986" max="9986" width="4" style="9" customWidth="1"/>
    <col min="9987" max="9987" width="24.42578125" style="9" customWidth="1"/>
    <col min="9988" max="9988" width="19.85546875" style="9" customWidth="1"/>
    <col min="9989" max="9989" width="9.28515625" style="9" customWidth="1"/>
    <col min="9990" max="9990" width="10" style="9" customWidth="1"/>
    <col min="9991" max="9991" width="8.42578125" style="9" customWidth="1"/>
    <col min="9992" max="9992" width="12.28515625" style="9" customWidth="1"/>
    <col min="9993" max="9993" width="7.5703125" style="9" customWidth="1"/>
    <col min="9994" max="9994" width="7.85546875" style="9" customWidth="1"/>
    <col min="9995" max="9995" width="8.28515625" style="9" customWidth="1"/>
    <col min="9996" max="9996" width="9.140625" style="9"/>
    <col min="9997" max="9999" width="7.5703125" style="9" customWidth="1"/>
    <col min="10000" max="10000" width="10.28515625" style="9" customWidth="1"/>
    <col min="10001" max="10001" width="10.5703125" style="9" customWidth="1"/>
    <col min="10002" max="10002" width="11.140625" style="9" customWidth="1"/>
    <col min="10003" max="10003" width="10.42578125" style="9" customWidth="1"/>
    <col min="10004" max="10013" width="11" style="9" customWidth="1"/>
    <col min="10014" max="10014" width="9.140625" style="9" customWidth="1"/>
    <col min="10015" max="10015" width="6.85546875" style="9" customWidth="1"/>
    <col min="10016" max="10016" width="15" style="9" bestFit="1" customWidth="1"/>
    <col min="10017" max="10241" width="9.140625" style="9"/>
    <col min="10242" max="10242" width="4" style="9" customWidth="1"/>
    <col min="10243" max="10243" width="24.42578125" style="9" customWidth="1"/>
    <col min="10244" max="10244" width="19.85546875" style="9" customWidth="1"/>
    <col min="10245" max="10245" width="9.28515625" style="9" customWidth="1"/>
    <col min="10246" max="10246" width="10" style="9" customWidth="1"/>
    <col min="10247" max="10247" width="8.42578125" style="9" customWidth="1"/>
    <col min="10248" max="10248" width="12.28515625" style="9" customWidth="1"/>
    <col min="10249" max="10249" width="7.5703125" style="9" customWidth="1"/>
    <col min="10250" max="10250" width="7.85546875" style="9" customWidth="1"/>
    <col min="10251" max="10251" width="8.28515625" style="9" customWidth="1"/>
    <col min="10252" max="10252" width="9.140625" style="9"/>
    <col min="10253" max="10255" width="7.5703125" style="9" customWidth="1"/>
    <col min="10256" max="10256" width="10.28515625" style="9" customWidth="1"/>
    <col min="10257" max="10257" width="10.5703125" style="9" customWidth="1"/>
    <col min="10258" max="10258" width="11.140625" style="9" customWidth="1"/>
    <col min="10259" max="10259" width="10.42578125" style="9" customWidth="1"/>
    <col min="10260" max="10269" width="11" style="9" customWidth="1"/>
    <col min="10270" max="10270" width="9.140625" style="9" customWidth="1"/>
    <col min="10271" max="10271" width="6.85546875" style="9" customWidth="1"/>
    <col min="10272" max="10272" width="15" style="9" bestFit="1" customWidth="1"/>
    <col min="10273" max="10497" width="9.140625" style="9"/>
    <col min="10498" max="10498" width="4" style="9" customWidth="1"/>
    <col min="10499" max="10499" width="24.42578125" style="9" customWidth="1"/>
    <col min="10500" max="10500" width="19.85546875" style="9" customWidth="1"/>
    <col min="10501" max="10501" width="9.28515625" style="9" customWidth="1"/>
    <col min="10502" max="10502" width="10" style="9" customWidth="1"/>
    <col min="10503" max="10503" width="8.42578125" style="9" customWidth="1"/>
    <col min="10504" max="10504" width="12.28515625" style="9" customWidth="1"/>
    <col min="10505" max="10505" width="7.5703125" style="9" customWidth="1"/>
    <col min="10506" max="10506" width="7.85546875" style="9" customWidth="1"/>
    <col min="10507" max="10507" width="8.28515625" style="9" customWidth="1"/>
    <col min="10508" max="10508" width="9.140625" style="9"/>
    <col min="10509" max="10511" width="7.5703125" style="9" customWidth="1"/>
    <col min="10512" max="10512" width="10.28515625" style="9" customWidth="1"/>
    <col min="10513" max="10513" width="10.5703125" style="9" customWidth="1"/>
    <col min="10514" max="10514" width="11.140625" style="9" customWidth="1"/>
    <col min="10515" max="10515" width="10.42578125" style="9" customWidth="1"/>
    <col min="10516" max="10525" width="11" style="9" customWidth="1"/>
    <col min="10526" max="10526" width="9.140625" style="9" customWidth="1"/>
    <col min="10527" max="10527" width="6.85546875" style="9" customWidth="1"/>
    <col min="10528" max="10528" width="15" style="9" bestFit="1" customWidth="1"/>
    <col min="10529" max="10753" width="9.140625" style="9"/>
    <col min="10754" max="10754" width="4" style="9" customWidth="1"/>
    <col min="10755" max="10755" width="24.42578125" style="9" customWidth="1"/>
    <col min="10756" max="10756" width="19.85546875" style="9" customWidth="1"/>
    <col min="10757" max="10757" width="9.28515625" style="9" customWidth="1"/>
    <col min="10758" max="10758" width="10" style="9" customWidth="1"/>
    <col min="10759" max="10759" width="8.42578125" style="9" customWidth="1"/>
    <col min="10760" max="10760" width="12.28515625" style="9" customWidth="1"/>
    <col min="10761" max="10761" width="7.5703125" style="9" customWidth="1"/>
    <col min="10762" max="10762" width="7.85546875" style="9" customWidth="1"/>
    <col min="10763" max="10763" width="8.28515625" style="9" customWidth="1"/>
    <col min="10764" max="10764" width="9.140625" style="9"/>
    <col min="10765" max="10767" width="7.5703125" style="9" customWidth="1"/>
    <col min="10768" max="10768" width="10.28515625" style="9" customWidth="1"/>
    <col min="10769" max="10769" width="10.5703125" style="9" customWidth="1"/>
    <col min="10770" max="10770" width="11.140625" style="9" customWidth="1"/>
    <col min="10771" max="10771" width="10.42578125" style="9" customWidth="1"/>
    <col min="10772" max="10781" width="11" style="9" customWidth="1"/>
    <col min="10782" max="10782" width="9.140625" style="9" customWidth="1"/>
    <col min="10783" max="10783" width="6.85546875" style="9" customWidth="1"/>
    <col min="10784" max="10784" width="15" style="9" bestFit="1" customWidth="1"/>
    <col min="10785" max="11009" width="9.140625" style="9"/>
    <col min="11010" max="11010" width="4" style="9" customWidth="1"/>
    <col min="11011" max="11011" width="24.42578125" style="9" customWidth="1"/>
    <col min="11012" max="11012" width="19.85546875" style="9" customWidth="1"/>
    <col min="11013" max="11013" width="9.28515625" style="9" customWidth="1"/>
    <col min="11014" max="11014" width="10" style="9" customWidth="1"/>
    <col min="11015" max="11015" width="8.42578125" style="9" customWidth="1"/>
    <col min="11016" max="11016" width="12.28515625" style="9" customWidth="1"/>
    <col min="11017" max="11017" width="7.5703125" style="9" customWidth="1"/>
    <col min="11018" max="11018" width="7.85546875" style="9" customWidth="1"/>
    <col min="11019" max="11019" width="8.28515625" style="9" customWidth="1"/>
    <col min="11020" max="11020" width="9.140625" style="9"/>
    <col min="11021" max="11023" width="7.5703125" style="9" customWidth="1"/>
    <col min="11024" max="11024" width="10.28515625" style="9" customWidth="1"/>
    <col min="11025" max="11025" width="10.5703125" style="9" customWidth="1"/>
    <col min="11026" max="11026" width="11.140625" style="9" customWidth="1"/>
    <col min="11027" max="11027" width="10.42578125" style="9" customWidth="1"/>
    <col min="11028" max="11037" width="11" style="9" customWidth="1"/>
    <col min="11038" max="11038" width="9.140625" style="9" customWidth="1"/>
    <col min="11039" max="11039" width="6.85546875" style="9" customWidth="1"/>
    <col min="11040" max="11040" width="15" style="9" bestFit="1" customWidth="1"/>
    <col min="11041" max="11265" width="9.140625" style="9"/>
    <col min="11266" max="11266" width="4" style="9" customWidth="1"/>
    <col min="11267" max="11267" width="24.42578125" style="9" customWidth="1"/>
    <col min="11268" max="11268" width="19.85546875" style="9" customWidth="1"/>
    <col min="11269" max="11269" width="9.28515625" style="9" customWidth="1"/>
    <col min="11270" max="11270" width="10" style="9" customWidth="1"/>
    <col min="11271" max="11271" width="8.42578125" style="9" customWidth="1"/>
    <col min="11272" max="11272" width="12.28515625" style="9" customWidth="1"/>
    <col min="11273" max="11273" width="7.5703125" style="9" customWidth="1"/>
    <col min="11274" max="11274" width="7.85546875" style="9" customWidth="1"/>
    <col min="11275" max="11275" width="8.28515625" style="9" customWidth="1"/>
    <col min="11276" max="11276" width="9.140625" style="9"/>
    <col min="11277" max="11279" width="7.5703125" style="9" customWidth="1"/>
    <col min="11280" max="11280" width="10.28515625" style="9" customWidth="1"/>
    <col min="11281" max="11281" width="10.5703125" style="9" customWidth="1"/>
    <col min="11282" max="11282" width="11.140625" style="9" customWidth="1"/>
    <col min="11283" max="11283" width="10.42578125" style="9" customWidth="1"/>
    <col min="11284" max="11293" width="11" style="9" customWidth="1"/>
    <col min="11294" max="11294" width="9.140625" style="9" customWidth="1"/>
    <col min="11295" max="11295" width="6.85546875" style="9" customWidth="1"/>
    <col min="11296" max="11296" width="15" style="9" bestFit="1" customWidth="1"/>
    <col min="11297" max="11521" width="9.140625" style="9"/>
    <col min="11522" max="11522" width="4" style="9" customWidth="1"/>
    <col min="11523" max="11523" width="24.42578125" style="9" customWidth="1"/>
    <col min="11524" max="11524" width="19.85546875" style="9" customWidth="1"/>
    <col min="11525" max="11525" width="9.28515625" style="9" customWidth="1"/>
    <col min="11526" max="11526" width="10" style="9" customWidth="1"/>
    <col min="11527" max="11527" width="8.42578125" style="9" customWidth="1"/>
    <col min="11528" max="11528" width="12.28515625" style="9" customWidth="1"/>
    <col min="11529" max="11529" width="7.5703125" style="9" customWidth="1"/>
    <col min="11530" max="11530" width="7.85546875" style="9" customWidth="1"/>
    <col min="11531" max="11531" width="8.28515625" style="9" customWidth="1"/>
    <col min="11532" max="11532" width="9.140625" style="9"/>
    <col min="11533" max="11535" width="7.5703125" style="9" customWidth="1"/>
    <col min="11536" max="11536" width="10.28515625" style="9" customWidth="1"/>
    <col min="11537" max="11537" width="10.5703125" style="9" customWidth="1"/>
    <col min="11538" max="11538" width="11.140625" style="9" customWidth="1"/>
    <col min="11539" max="11539" width="10.42578125" style="9" customWidth="1"/>
    <col min="11540" max="11549" width="11" style="9" customWidth="1"/>
    <col min="11550" max="11550" width="9.140625" style="9" customWidth="1"/>
    <col min="11551" max="11551" width="6.85546875" style="9" customWidth="1"/>
    <col min="11552" max="11552" width="15" style="9" bestFit="1" customWidth="1"/>
    <col min="11553" max="11777" width="9.140625" style="9"/>
    <col min="11778" max="11778" width="4" style="9" customWidth="1"/>
    <col min="11779" max="11779" width="24.42578125" style="9" customWidth="1"/>
    <col min="11780" max="11780" width="19.85546875" style="9" customWidth="1"/>
    <col min="11781" max="11781" width="9.28515625" style="9" customWidth="1"/>
    <col min="11782" max="11782" width="10" style="9" customWidth="1"/>
    <col min="11783" max="11783" width="8.42578125" style="9" customWidth="1"/>
    <col min="11784" max="11784" width="12.28515625" style="9" customWidth="1"/>
    <col min="11785" max="11785" width="7.5703125" style="9" customWidth="1"/>
    <col min="11786" max="11786" width="7.85546875" style="9" customWidth="1"/>
    <col min="11787" max="11787" width="8.28515625" style="9" customWidth="1"/>
    <col min="11788" max="11788" width="9.140625" style="9"/>
    <col min="11789" max="11791" width="7.5703125" style="9" customWidth="1"/>
    <col min="11792" max="11792" width="10.28515625" style="9" customWidth="1"/>
    <col min="11793" max="11793" width="10.5703125" style="9" customWidth="1"/>
    <col min="11794" max="11794" width="11.140625" style="9" customWidth="1"/>
    <col min="11795" max="11795" width="10.42578125" style="9" customWidth="1"/>
    <col min="11796" max="11805" width="11" style="9" customWidth="1"/>
    <col min="11806" max="11806" width="9.140625" style="9" customWidth="1"/>
    <col min="11807" max="11807" width="6.85546875" style="9" customWidth="1"/>
    <col min="11808" max="11808" width="15" style="9" bestFit="1" customWidth="1"/>
    <col min="11809" max="12033" width="9.140625" style="9"/>
    <col min="12034" max="12034" width="4" style="9" customWidth="1"/>
    <col min="12035" max="12035" width="24.42578125" style="9" customWidth="1"/>
    <col min="12036" max="12036" width="19.85546875" style="9" customWidth="1"/>
    <col min="12037" max="12037" width="9.28515625" style="9" customWidth="1"/>
    <col min="12038" max="12038" width="10" style="9" customWidth="1"/>
    <col min="12039" max="12039" width="8.42578125" style="9" customWidth="1"/>
    <col min="12040" max="12040" width="12.28515625" style="9" customWidth="1"/>
    <col min="12041" max="12041" width="7.5703125" style="9" customWidth="1"/>
    <col min="12042" max="12042" width="7.85546875" style="9" customWidth="1"/>
    <col min="12043" max="12043" width="8.28515625" style="9" customWidth="1"/>
    <col min="12044" max="12044" width="9.140625" style="9"/>
    <col min="12045" max="12047" width="7.5703125" style="9" customWidth="1"/>
    <col min="12048" max="12048" width="10.28515625" style="9" customWidth="1"/>
    <col min="12049" max="12049" width="10.5703125" style="9" customWidth="1"/>
    <col min="12050" max="12050" width="11.140625" style="9" customWidth="1"/>
    <col min="12051" max="12051" width="10.42578125" style="9" customWidth="1"/>
    <col min="12052" max="12061" width="11" style="9" customWidth="1"/>
    <col min="12062" max="12062" width="9.140625" style="9" customWidth="1"/>
    <col min="12063" max="12063" width="6.85546875" style="9" customWidth="1"/>
    <col min="12064" max="12064" width="15" style="9" bestFit="1" customWidth="1"/>
    <col min="12065" max="12289" width="9.140625" style="9"/>
    <col min="12290" max="12290" width="4" style="9" customWidth="1"/>
    <col min="12291" max="12291" width="24.42578125" style="9" customWidth="1"/>
    <col min="12292" max="12292" width="19.85546875" style="9" customWidth="1"/>
    <col min="12293" max="12293" width="9.28515625" style="9" customWidth="1"/>
    <col min="12294" max="12294" width="10" style="9" customWidth="1"/>
    <col min="12295" max="12295" width="8.42578125" style="9" customWidth="1"/>
    <col min="12296" max="12296" width="12.28515625" style="9" customWidth="1"/>
    <col min="12297" max="12297" width="7.5703125" style="9" customWidth="1"/>
    <col min="12298" max="12298" width="7.85546875" style="9" customWidth="1"/>
    <col min="12299" max="12299" width="8.28515625" style="9" customWidth="1"/>
    <col min="12300" max="12300" width="9.140625" style="9"/>
    <col min="12301" max="12303" width="7.5703125" style="9" customWidth="1"/>
    <col min="12304" max="12304" width="10.28515625" style="9" customWidth="1"/>
    <col min="12305" max="12305" width="10.5703125" style="9" customWidth="1"/>
    <col min="12306" max="12306" width="11.140625" style="9" customWidth="1"/>
    <col min="12307" max="12307" width="10.42578125" style="9" customWidth="1"/>
    <col min="12308" max="12317" width="11" style="9" customWidth="1"/>
    <col min="12318" max="12318" width="9.140625" style="9" customWidth="1"/>
    <col min="12319" max="12319" width="6.85546875" style="9" customWidth="1"/>
    <col min="12320" max="12320" width="15" style="9" bestFit="1" customWidth="1"/>
    <col min="12321" max="12545" width="9.140625" style="9"/>
    <col min="12546" max="12546" width="4" style="9" customWidth="1"/>
    <col min="12547" max="12547" width="24.42578125" style="9" customWidth="1"/>
    <col min="12548" max="12548" width="19.85546875" style="9" customWidth="1"/>
    <col min="12549" max="12549" width="9.28515625" style="9" customWidth="1"/>
    <col min="12550" max="12550" width="10" style="9" customWidth="1"/>
    <col min="12551" max="12551" width="8.42578125" style="9" customWidth="1"/>
    <col min="12552" max="12552" width="12.28515625" style="9" customWidth="1"/>
    <col min="12553" max="12553" width="7.5703125" style="9" customWidth="1"/>
    <col min="12554" max="12554" width="7.85546875" style="9" customWidth="1"/>
    <col min="12555" max="12555" width="8.28515625" style="9" customWidth="1"/>
    <col min="12556" max="12556" width="9.140625" style="9"/>
    <col min="12557" max="12559" width="7.5703125" style="9" customWidth="1"/>
    <col min="12560" max="12560" width="10.28515625" style="9" customWidth="1"/>
    <col min="12561" max="12561" width="10.5703125" style="9" customWidth="1"/>
    <col min="12562" max="12562" width="11.140625" style="9" customWidth="1"/>
    <col min="12563" max="12563" width="10.42578125" style="9" customWidth="1"/>
    <col min="12564" max="12573" width="11" style="9" customWidth="1"/>
    <col min="12574" max="12574" width="9.140625" style="9" customWidth="1"/>
    <col min="12575" max="12575" width="6.85546875" style="9" customWidth="1"/>
    <col min="12576" max="12576" width="15" style="9" bestFit="1" customWidth="1"/>
    <col min="12577" max="12801" width="9.140625" style="9"/>
    <col min="12802" max="12802" width="4" style="9" customWidth="1"/>
    <col min="12803" max="12803" width="24.42578125" style="9" customWidth="1"/>
    <col min="12804" max="12804" width="19.85546875" style="9" customWidth="1"/>
    <col min="12805" max="12805" width="9.28515625" style="9" customWidth="1"/>
    <col min="12806" max="12806" width="10" style="9" customWidth="1"/>
    <col min="12807" max="12807" width="8.42578125" style="9" customWidth="1"/>
    <col min="12808" max="12808" width="12.28515625" style="9" customWidth="1"/>
    <col min="12809" max="12809" width="7.5703125" style="9" customWidth="1"/>
    <col min="12810" max="12810" width="7.85546875" style="9" customWidth="1"/>
    <col min="12811" max="12811" width="8.28515625" style="9" customWidth="1"/>
    <col min="12812" max="12812" width="9.140625" style="9"/>
    <col min="12813" max="12815" width="7.5703125" style="9" customWidth="1"/>
    <col min="12816" max="12816" width="10.28515625" style="9" customWidth="1"/>
    <col min="12817" max="12817" width="10.5703125" style="9" customWidth="1"/>
    <col min="12818" max="12818" width="11.140625" style="9" customWidth="1"/>
    <col min="12819" max="12819" width="10.42578125" style="9" customWidth="1"/>
    <col min="12820" max="12829" width="11" style="9" customWidth="1"/>
    <col min="12830" max="12830" width="9.140625" style="9" customWidth="1"/>
    <col min="12831" max="12831" width="6.85546875" style="9" customWidth="1"/>
    <col min="12832" max="12832" width="15" style="9" bestFit="1" customWidth="1"/>
    <col min="12833" max="13057" width="9.140625" style="9"/>
    <col min="13058" max="13058" width="4" style="9" customWidth="1"/>
    <col min="13059" max="13059" width="24.42578125" style="9" customWidth="1"/>
    <col min="13060" max="13060" width="19.85546875" style="9" customWidth="1"/>
    <col min="13061" max="13061" width="9.28515625" style="9" customWidth="1"/>
    <col min="13062" max="13062" width="10" style="9" customWidth="1"/>
    <col min="13063" max="13063" width="8.42578125" style="9" customWidth="1"/>
    <col min="13064" max="13064" width="12.28515625" style="9" customWidth="1"/>
    <col min="13065" max="13065" width="7.5703125" style="9" customWidth="1"/>
    <col min="13066" max="13066" width="7.85546875" style="9" customWidth="1"/>
    <col min="13067" max="13067" width="8.28515625" style="9" customWidth="1"/>
    <col min="13068" max="13068" width="9.140625" style="9"/>
    <col min="13069" max="13071" width="7.5703125" style="9" customWidth="1"/>
    <col min="13072" max="13072" width="10.28515625" style="9" customWidth="1"/>
    <col min="13073" max="13073" width="10.5703125" style="9" customWidth="1"/>
    <col min="13074" max="13074" width="11.140625" style="9" customWidth="1"/>
    <col min="13075" max="13075" width="10.42578125" style="9" customWidth="1"/>
    <col min="13076" max="13085" width="11" style="9" customWidth="1"/>
    <col min="13086" max="13086" width="9.140625" style="9" customWidth="1"/>
    <col min="13087" max="13087" width="6.85546875" style="9" customWidth="1"/>
    <col min="13088" max="13088" width="15" style="9" bestFit="1" customWidth="1"/>
    <col min="13089" max="13313" width="9.140625" style="9"/>
    <col min="13314" max="13314" width="4" style="9" customWidth="1"/>
    <col min="13315" max="13315" width="24.42578125" style="9" customWidth="1"/>
    <col min="13316" max="13316" width="19.85546875" style="9" customWidth="1"/>
    <col min="13317" max="13317" width="9.28515625" style="9" customWidth="1"/>
    <col min="13318" max="13318" width="10" style="9" customWidth="1"/>
    <col min="13319" max="13319" width="8.42578125" style="9" customWidth="1"/>
    <col min="13320" max="13320" width="12.28515625" style="9" customWidth="1"/>
    <col min="13321" max="13321" width="7.5703125" style="9" customWidth="1"/>
    <col min="13322" max="13322" width="7.85546875" style="9" customWidth="1"/>
    <col min="13323" max="13323" width="8.28515625" style="9" customWidth="1"/>
    <col min="13324" max="13324" width="9.140625" style="9"/>
    <col min="13325" max="13327" width="7.5703125" style="9" customWidth="1"/>
    <col min="13328" max="13328" width="10.28515625" style="9" customWidth="1"/>
    <col min="13329" max="13329" width="10.5703125" style="9" customWidth="1"/>
    <col min="13330" max="13330" width="11.140625" style="9" customWidth="1"/>
    <col min="13331" max="13331" width="10.42578125" style="9" customWidth="1"/>
    <col min="13332" max="13341" width="11" style="9" customWidth="1"/>
    <col min="13342" max="13342" width="9.140625" style="9" customWidth="1"/>
    <col min="13343" max="13343" width="6.85546875" style="9" customWidth="1"/>
    <col min="13344" max="13344" width="15" style="9" bestFit="1" customWidth="1"/>
    <col min="13345" max="13569" width="9.140625" style="9"/>
    <col min="13570" max="13570" width="4" style="9" customWidth="1"/>
    <col min="13571" max="13571" width="24.42578125" style="9" customWidth="1"/>
    <col min="13572" max="13572" width="19.85546875" style="9" customWidth="1"/>
    <col min="13573" max="13573" width="9.28515625" style="9" customWidth="1"/>
    <col min="13574" max="13574" width="10" style="9" customWidth="1"/>
    <col min="13575" max="13575" width="8.42578125" style="9" customWidth="1"/>
    <col min="13576" max="13576" width="12.28515625" style="9" customWidth="1"/>
    <col min="13577" max="13577" width="7.5703125" style="9" customWidth="1"/>
    <col min="13578" max="13578" width="7.85546875" style="9" customWidth="1"/>
    <col min="13579" max="13579" width="8.28515625" style="9" customWidth="1"/>
    <col min="13580" max="13580" width="9.140625" style="9"/>
    <col min="13581" max="13583" width="7.5703125" style="9" customWidth="1"/>
    <col min="13584" max="13584" width="10.28515625" style="9" customWidth="1"/>
    <col min="13585" max="13585" width="10.5703125" style="9" customWidth="1"/>
    <col min="13586" max="13586" width="11.140625" style="9" customWidth="1"/>
    <col min="13587" max="13587" width="10.42578125" style="9" customWidth="1"/>
    <col min="13588" max="13597" width="11" style="9" customWidth="1"/>
    <col min="13598" max="13598" width="9.140625" style="9" customWidth="1"/>
    <col min="13599" max="13599" width="6.85546875" style="9" customWidth="1"/>
    <col min="13600" max="13600" width="15" style="9" bestFit="1" customWidth="1"/>
    <col min="13601" max="13825" width="9.140625" style="9"/>
    <col min="13826" max="13826" width="4" style="9" customWidth="1"/>
    <col min="13827" max="13827" width="24.42578125" style="9" customWidth="1"/>
    <col min="13828" max="13828" width="19.85546875" style="9" customWidth="1"/>
    <col min="13829" max="13829" width="9.28515625" style="9" customWidth="1"/>
    <col min="13830" max="13830" width="10" style="9" customWidth="1"/>
    <col min="13831" max="13831" width="8.42578125" style="9" customWidth="1"/>
    <col min="13832" max="13832" width="12.28515625" style="9" customWidth="1"/>
    <col min="13833" max="13833" width="7.5703125" style="9" customWidth="1"/>
    <col min="13834" max="13834" width="7.85546875" style="9" customWidth="1"/>
    <col min="13835" max="13835" width="8.28515625" style="9" customWidth="1"/>
    <col min="13836" max="13836" width="9.140625" style="9"/>
    <col min="13837" max="13839" width="7.5703125" style="9" customWidth="1"/>
    <col min="13840" max="13840" width="10.28515625" style="9" customWidth="1"/>
    <col min="13841" max="13841" width="10.5703125" style="9" customWidth="1"/>
    <col min="13842" max="13842" width="11.140625" style="9" customWidth="1"/>
    <col min="13843" max="13843" width="10.42578125" style="9" customWidth="1"/>
    <col min="13844" max="13853" width="11" style="9" customWidth="1"/>
    <col min="13854" max="13854" width="9.140625" style="9" customWidth="1"/>
    <col min="13855" max="13855" width="6.85546875" style="9" customWidth="1"/>
    <col min="13856" max="13856" width="15" style="9" bestFit="1" customWidth="1"/>
    <col min="13857" max="14081" width="9.140625" style="9"/>
    <col min="14082" max="14082" width="4" style="9" customWidth="1"/>
    <col min="14083" max="14083" width="24.42578125" style="9" customWidth="1"/>
    <col min="14084" max="14084" width="19.85546875" style="9" customWidth="1"/>
    <col min="14085" max="14085" width="9.28515625" style="9" customWidth="1"/>
    <col min="14086" max="14086" width="10" style="9" customWidth="1"/>
    <col min="14087" max="14087" width="8.42578125" style="9" customWidth="1"/>
    <col min="14088" max="14088" width="12.28515625" style="9" customWidth="1"/>
    <col min="14089" max="14089" width="7.5703125" style="9" customWidth="1"/>
    <col min="14090" max="14090" width="7.85546875" style="9" customWidth="1"/>
    <col min="14091" max="14091" width="8.28515625" style="9" customWidth="1"/>
    <col min="14092" max="14092" width="9.140625" style="9"/>
    <col min="14093" max="14095" width="7.5703125" style="9" customWidth="1"/>
    <col min="14096" max="14096" width="10.28515625" style="9" customWidth="1"/>
    <col min="14097" max="14097" width="10.5703125" style="9" customWidth="1"/>
    <col min="14098" max="14098" width="11.140625" style="9" customWidth="1"/>
    <col min="14099" max="14099" width="10.42578125" style="9" customWidth="1"/>
    <col min="14100" max="14109" width="11" style="9" customWidth="1"/>
    <col min="14110" max="14110" width="9.140625" style="9" customWidth="1"/>
    <col min="14111" max="14111" width="6.85546875" style="9" customWidth="1"/>
    <col min="14112" max="14112" width="15" style="9" bestFit="1" customWidth="1"/>
    <col min="14113" max="14337" width="9.140625" style="9"/>
    <col min="14338" max="14338" width="4" style="9" customWidth="1"/>
    <col min="14339" max="14339" width="24.42578125" style="9" customWidth="1"/>
    <col min="14340" max="14340" width="19.85546875" style="9" customWidth="1"/>
    <col min="14341" max="14341" width="9.28515625" style="9" customWidth="1"/>
    <col min="14342" max="14342" width="10" style="9" customWidth="1"/>
    <col min="14343" max="14343" width="8.42578125" style="9" customWidth="1"/>
    <col min="14344" max="14344" width="12.28515625" style="9" customWidth="1"/>
    <col min="14345" max="14345" width="7.5703125" style="9" customWidth="1"/>
    <col min="14346" max="14346" width="7.85546875" style="9" customWidth="1"/>
    <col min="14347" max="14347" width="8.28515625" style="9" customWidth="1"/>
    <col min="14348" max="14348" width="9.140625" style="9"/>
    <col min="14349" max="14351" width="7.5703125" style="9" customWidth="1"/>
    <col min="14352" max="14352" width="10.28515625" style="9" customWidth="1"/>
    <col min="14353" max="14353" width="10.5703125" style="9" customWidth="1"/>
    <col min="14354" max="14354" width="11.140625" style="9" customWidth="1"/>
    <col min="14355" max="14355" width="10.42578125" style="9" customWidth="1"/>
    <col min="14356" max="14365" width="11" style="9" customWidth="1"/>
    <col min="14366" max="14366" width="9.140625" style="9" customWidth="1"/>
    <col min="14367" max="14367" width="6.85546875" style="9" customWidth="1"/>
    <col min="14368" max="14368" width="15" style="9" bestFit="1" customWidth="1"/>
    <col min="14369" max="14593" width="9.140625" style="9"/>
    <col min="14594" max="14594" width="4" style="9" customWidth="1"/>
    <col min="14595" max="14595" width="24.42578125" style="9" customWidth="1"/>
    <col min="14596" max="14596" width="19.85546875" style="9" customWidth="1"/>
    <col min="14597" max="14597" width="9.28515625" style="9" customWidth="1"/>
    <col min="14598" max="14598" width="10" style="9" customWidth="1"/>
    <col min="14599" max="14599" width="8.42578125" style="9" customWidth="1"/>
    <col min="14600" max="14600" width="12.28515625" style="9" customWidth="1"/>
    <col min="14601" max="14601" width="7.5703125" style="9" customWidth="1"/>
    <col min="14602" max="14602" width="7.85546875" style="9" customWidth="1"/>
    <col min="14603" max="14603" width="8.28515625" style="9" customWidth="1"/>
    <col min="14604" max="14604" width="9.140625" style="9"/>
    <col min="14605" max="14607" width="7.5703125" style="9" customWidth="1"/>
    <col min="14608" max="14608" width="10.28515625" style="9" customWidth="1"/>
    <col min="14609" max="14609" width="10.5703125" style="9" customWidth="1"/>
    <col min="14610" max="14610" width="11.140625" style="9" customWidth="1"/>
    <col min="14611" max="14611" width="10.42578125" style="9" customWidth="1"/>
    <col min="14612" max="14621" width="11" style="9" customWidth="1"/>
    <col min="14622" max="14622" width="9.140625" style="9" customWidth="1"/>
    <col min="14623" max="14623" width="6.85546875" style="9" customWidth="1"/>
    <col min="14624" max="14624" width="15" style="9" bestFit="1" customWidth="1"/>
    <col min="14625" max="14849" width="9.140625" style="9"/>
    <col min="14850" max="14850" width="4" style="9" customWidth="1"/>
    <col min="14851" max="14851" width="24.42578125" style="9" customWidth="1"/>
    <col min="14852" max="14852" width="19.85546875" style="9" customWidth="1"/>
    <col min="14853" max="14853" width="9.28515625" style="9" customWidth="1"/>
    <col min="14854" max="14854" width="10" style="9" customWidth="1"/>
    <col min="14855" max="14855" width="8.42578125" style="9" customWidth="1"/>
    <col min="14856" max="14856" width="12.28515625" style="9" customWidth="1"/>
    <col min="14857" max="14857" width="7.5703125" style="9" customWidth="1"/>
    <col min="14858" max="14858" width="7.85546875" style="9" customWidth="1"/>
    <col min="14859" max="14859" width="8.28515625" style="9" customWidth="1"/>
    <col min="14860" max="14860" width="9.140625" style="9"/>
    <col min="14861" max="14863" width="7.5703125" style="9" customWidth="1"/>
    <col min="14864" max="14864" width="10.28515625" style="9" customWidth="1"/>
    <col min="14865" max="14865" width="10.5703125" style="9" customWidth="1"/>
    <col min="14866" max="14866" width="11.140625" style="9" customWidth="1"/>
    <col min="14867" max="14867" width="10.42578125" style="9" customWidth="1"/>
    <col min="14868" max="14877" width="11" style="9" customWidth="1"/>
    <col min="14878" max="14878" width="9.140625" style="9" customWidth="1"/>
    <col min="14879" max="14879" width="6.85546875" style="9" customWidth="1"/>
    <col min="14880" max="14880" width="15" style="9" bestFit="1" customWidth="1"/>
    <col min="14881" max="15105" width="9.140625" style="9"/>
    <col min="15106" max="15106" width="4" style="9" customWidth="1"/>
    <col min="15107" max="15107" width="24.42578125" style="9" customWidth="1"/>
    <col min="15108" max="15108" width="19.85546875" style="9" customWidth="1"/>
    <col min="15109" max="15109" width="9.28515625" style="9" customWidth="1"/>
    <col min="15110" max="15110" width="10" style="9" customWidth="1"/>
    <col min="15111" max="15111" width="8.42578125" style="9" customWidth="1"/>
    <col min="15112" max="15112" width="12.28515625" style="9" customWidth="1"/>
    <col min="15113" max="15113" width="7.5703125" style="9" customWidth="1"/>
    <col min="15114" max="15114" width="7.85546875" style="9" customWidth="1"/>
    <col min="15115" max="15115" width="8.28515625" style="9" customWidth="1"/>
    <col min="15116" max="15116" width="9.140625" style="9"/>
    <col min="15117" max="15119" width="7.5703125" style="9" customWidth="1"/>
    <col min="15120" max="15120" width="10.28515625" style="9" customWidth="1"/>
    <col min="15121" max="15121" width="10.5703125" style="9" customWidth="1"/>
    <col min="15122" max="15122" width="11.140625" style="9" customWidth="1"/>
    <col min="15123" max="15123" width="10.42578125" style="9" customWidth="1"/>
    <col min="15124" max="15133" width="11" style="9" customWidth="1"/>
    <col min="15134" max="15134" width="9.140625" style="9" customWidth="1"/>
    <col min="15135" max="15135" width="6.85546875" style="9" customWidth="1"/>
    <col min="15136" max="15136" width="15" style="9" bestFit="1" customWidth="1"/>
    <col min="15137" max="15361" width="9.140625" style="9"/>
    <col min="15362" max="15362" width="4" style="9" customWidth="1"/>
    <col min="15363" max="15363" width="24.42578125" style="9" customWidth="1"/>
    <col min="15364" max="15364" width="19.85546875" style="9" customWidth="1"/>
    <col min="15365" max="15365" width="9.28515625" style="9" customWidth="1"/>
    <col min="15366" max="15366" width="10" style="9" customWidth="1"/>
    <col min="15367" max="15367" width="8.42578125" style="9" customWidth="1"/>
    <col min="15368" max="15368" width="12.28515625" style="9" customWidth="1"/>
    <col min="15369" max="15369" width="7.5703125" style="9" customWidth="1"/>
    <col min="15370" max="15370" width="7.85546875" style="9" customWidth="1"/>
    <col min="15371" max="15371" width="8.28515625" style="9" customWidth="1"/>
    <col min="15372" max="15372" width="9.140625" style="9"/>
    <col min="15373" max="15375" width="7.5703125" style="9" customWidth="1"/>
    <col min="15376" max="15376" width="10.28515625" style="9" customWidth="1"/>
    <col min="15377" max="15377" width="10.5703125" style="9" customWidth="1"/>
    <col min="15378" max="15378" width="11.140625" style="9" customWidth="1"/>
    <col min="15379" max="15379" width="10.42578125" style="9" customWidth="1"/>
    <col min="15380" max="15389" width="11" style="9" customWidth="1"/>
    <col min="15390" max="15390" width="9.140625" style="9" customWidth="1"/>
    <col min="15391" max="15391" width="6.85546875" style="9" customWidth="1"/>
    <col min="15392" max="15392" width="15" style="9" bestFit="1" customWidth="1"/>
    <col min="15393" max="15617" width="9.140625" style="9"/>
    <col min="15618" max="15618" width="4" style="9" customWidth="1"/>
    <col min="15619" max="15619" width="24.42578125" style="9" customWidth="1"/>
    <col min="15620" max="15620" width="19.85546875" style="9" customWidth="1"/>
    <col min="15621" max="15621" width="9.28515625" style="9" customWidth="1"/>
    <col min="15622" max="15622" width="10" style="9" customWidth="1"/>
    <col min="15623" max="15623" width="8.42578125" style="9" customWidth="1"/>
    <col min="15624" max="15624" width="12.28515625" style="9" customWidth="1"/>
    <col min="15625" max="15625" width="7.5703125" style="9" customWidth="1"/>
    <col min="15626" max="15626" width="7.85546875" style="9" customWidth="1"/>
    <col min="15627" max="15627" width="8.28515625" style="9" customWidth="1"/>
    <col min="15628" max="15628" width="9.140625" style="9"/>
    <col min="15629" max="15631" width="7.5703125" style="9" customWidth="1"/>
    <col min="15632" max="15632" width="10.28515625" style="9" customWidth="1"/>
    <col min="15633" max="15633" width="10.5703125" style="9" customWidth="1"/>
    <col min="15634" max="15634" width="11.140625" style="9" customWidth="1"/>
    <col min="15635" max="15635" width="10.42578125" style="9" customWidth="1"/>
    <col min="15636" max="15645" width="11" style="9" customWidth="1"/>
    <col min="15646" max="15646" width="9.140625" style="9" customWidth="1"/>
    <col min="15647" max="15647" width="6.85546875" style="9" customWidth="1"/>
    <col min="15648" max="15648" width="15" style="9" bestFit="1" customWidth="1"/>
    <col min="15649" max="15873" width="9.140625" style="9"/>
    <col min="15874" max="15874" width="4" style="9" customWidth="1"/>
    <col min="15875" max="15875" width="24.42578125" style="9" customWidth="1"/>
    <col min="15876" max="15876" width="19.85546875" style="9" customWidth="1"/>
    <col min="15877" max="15877" width="9.28515625" style="9" customWidth="1"/>
    <col min="15878" max="15878" width="10" style="9" customWidth="1"/>
    <col min="15879" max="15879" width="8.42578125" style="9" customWidth="1"/>
    <col min="15880" max="15880" width="12.28515625" style="9" customWidth="1"/>
    <col min="15881" max="15881" width="7.5703125" style="9" customWidth="1"/>
    <col min="15882" max="15882" width="7.85546875" style="9" customWidth="1"/>
    <col min="15883" max="15883" width="8.28515625" style="9" customWidth="1"/>
    <col min="15884" max="15884" width="9.140625" style="9"/>
    <col min="15885" max="15887" width="7.5703125" style="9" customWidth="1"/>
    <col min="15888" max="15888" width="10.28515625" style="9" customWidth="1"/>
    <col min="15889" max="15889" width="10.5703125" style="9" customWidth="1"/>
    <col min="15890" max="15890" width="11.140625" style="9" customWidth="1"/>
    <col min="15891" max="15891" width="10.42578125" style="9" customWidth="1"/>
    <col min="15892" max="15901" width="11" style="9" customWidth="1"/>
    <col min="15902" max="15902" width="9.140625" style="9" customWidth="1"/>
    <col min="15903" max="15903" width="6.85546875" style="9" customWidth="1"/>
    <col min="15904" max="15904" width="15" style="9" bestFit="1" customWidth="1"/>
    <col min="15905" max="16129" width="9.140625" style="9"/>
    <col min="16130" max="16130" width="4" style="9" customWidth="1"/>
    <col min="16131" max="16131" width="24.42578125" style="9" customWidth="1"/>
    <col min="16132" max="16132" width="19.85546875" style="9" customWidth="1"/>
    <col min="16133" max="16133" width="9.28515625" style="9" customWidth="1"/>
    <col min="16134" max="16134" width="10" style="9" customWidth="1"/>
    <col min="16135" max="16135" width="8.42578125" style="9" customWidth="1"/>
    <col min="16136" max="16136" width="12.28515625" style="9" customWidth="1"/>
    <col min="16137" max="16137" width="7.5703125" style="9" customWidth="1"/>
    <col min="16138" max="16138" width="7.85546875" style="9" customWidth="1"/>
    <col min="16139" max="16139" width="8.28515625" style="9" customWidth="1"/>
    <col min="16140" max="16140" width="9.140625" style="9"/>
    <col min="16141" max="16143" width="7.5703125" style="9" customWidth="1"/>
    <col min="16144" max="16144" width="10.28515625" style="9" customWidth="1"/>
    <col min="16145" max="16145" width="10.5703125" style="9" customWidth="1"/>
    <col min="16146" max="16146" width="11.140625" style="9" customWidth="1"/>
    <col min="16147" max="16147" width="10.42578125" style="9" customWidth="1"/>
    <col min="16148" max="16157" width="11" style="9" customWidth="1"/>
    <col min="16158" max="16158" width="9.140625" style="9" customWidth="1"/>
    <col min="16159" max="16159" width="6.85546875" style="9" customWidth="1"/>
    <col min="16160" max="16160" width="15" style="9" bestFit="1" customWidth="1"/>
    <col min="16161" max="16384" width="9.140625" style="9"/>
  </cols>
  <sheetData>
    <row r="1" spans="1:47" ht="125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7" t="s">
        <v>25</v>
      </c>
      <c r="AA1" s="7" t="s">
        <v>26</v>
      </c>
      <c r="AB1" s="8" t="s">
        <v>27</v>
      </c>
      <c r="AC1" s="8" t="s">
        <v>28</v>
      </c>
      <c r="AD1" s="8" t="s">
        <v>29</v>
      </c>
      <c r="AE1" s="8" t="s">
        <v>143</v>
      </c>
      <c r="AF1" s="10" t="s">
        <v>30</v>
      </c>
      <c r="AG1" s="8" t="s">
        <v>144</v>
      </c>
      <c r="AH1" s="61" t="s">
        <v>145</v>
      </c>
      <c r="AI1" s="62" t="s">
        <v>146</v>
      </c>
      <c r="AJ1" s="62" t="s">
        <v>147</v>
      </c>
      <c r="AK1" s="60" t="s">
        <v>151</v>
      </c>
      <c r="AL1" s="9"/>
      <c r="AN1" s="64" t="s">
        <v>148</v>
      </c>
      <c r="AO1" s="64" t="s">
        <v>149</v>
      </c>
      <c r="AP1" s="64" t="s">
        <v>150</v>
      </c>
      <c r="AQ1" s="9">
        <v>4</v>
      </c>
      <c r="AR1" s="9">
        <v>12</v>
      </c>
      <c r="AS1" s="9"/>
      <c r="AT1" s="12" t="s">
        <v>31</v>
      </c>
      <c r="AU1" s="63" t="s">
        <v>152</v>
      </c>
    </row>
    <row r="2" spans="1:47" ht="23.25" customHeight="1">
      <c r="A2" s="14">
        <v>1</v>
      </c>
      <c r="B2" s="15" t="s">
        <v>32</v>
      </c>
      <c r="C2" s="15" t="s">
        <v>32</v>
      </c>
      <c r="D2" s="16" t="s">
        <v>33</v>
      </c>
      <c r="E2" s="17">
        <f t="shared" ref="E2:E14" si="0">AVERAGE(J2:N2)</f>
        <v>43003</v>
      </c>
      <c r="F2" s="17">
        <f t="shared" ref="F2:F14" si="1">AVERAGE(O2:V2)</f>
        <v>46327.875</v>
      </c>
      <c r="G2" s="17">
        <f>AVERAGE(W2:Z2)</f>
        <v>78850.5</v>
      </c>
      <c r="H2" s="17">
        <f>AVERAGE(AA2:AD2)</f>
        <v>68161.5</v>
      </c>
      <c r="I2" s="18">
        <v>115454</v>
      </c>
      <c r="J2" s="18">
        <f>20953+34257</f>
        <v>55210</v>
      </c>
      <c r="K2" s="18">
        <f>11506+18872</f>
        <v>30378</v>
      </c>
      <c r="L2" s="18">
        <f>15483+33338</f>
        <v>48821</v>
      </c>
      <c r="M2" s="18">
        <v>46267</v>
      </c>
      <c r="N2" s="18">
        <f>11097+23242</f>
        <v>34339</v>
      </c>
      <c r="O2" s="18">
        <v>45068</v>
      </c>
      <c r="P2" s="18">
        <v>48843</v>
      </c>
      <c r="Q2" s="18">
        <v>42904</v>
      </c>
      <c r="R2" s="18">
        <v>47723</v>
      </c>
      <c r="S2" s="18">
        <v>55332</v>
      </c>
      <c r="T2" s="18">
        <v>37415</v>
      </c>
      <c r="U2" s="18">
        <v>47983</v>
      </c>
      <c r="V2" s="18">
        <v>45355</v>
      </c>
      <c r="W2" s="18">
        <v>67196</v>
      </c>
      <c r="X2" s="18">
        <v>82706</v>
      </c>
      <c r="Y2" s="18">
        <v>78158</v>
      </c>
      <c r="Z2" s="18">
        <v>87342</v>
      </c>
      <c r="AA2" s="18">
        <v>85341</v>
      </c>
      <c r="AB2" s="19">
        <v>76252</v>
      </c>
      <c r="AC2" s="19">
        <v>70654</v>
      </c>
      <c r="AD2" s="19">
        <v>40399</v>
      </c>
      <c r="AE2" s="45">
        <f>SUM(I2:AD2)</f>
        <v>1289140</v>
      </c>
      <c r="AF2" s="21">
        <v>5.8500000000000003E-2</v>
      </c>
      <c r="AG2" s="45">
        <f>AE2*AF2</f>
        <v>75414.69</v>
      </c>
      <c r="AH2" s="61">
        <f>AG2/$AG$44*100</f>
        <v>1.8157100298096203</v>
      </c>
      <c r="AI2" s="61">
        <f>AH2*$AI$44/100</f>
        <v>363142.00596192403</v>
      </c>
      <c r="AJ2" s="61">
        <f>AI2/AF2</f>
        <v>6207555.6574687865</v>
      </c>
      <c r="AK2" s="11">
        <f>AJ2/AR2</f>
        <v>24249.366613858125</v>
      </c>
      <c r="AL2" s="9"/>
      <c r="AN2" s="23">
        <f>[1]საპენსიო!D2</f>
        <v>92.063670411985015</v>
      </c>
      <c r="AO2" s="23">
        <f>[1]შშმპ!D2</f>
        <v>78.595238095238102</v>
      </c>
      <c r="AP2" s="24">
        <f>AVERAGE(AN2:AO2)</f>
        <v>85.329454253611559</v>
      </c>
      <c r="AQ2" s="24">
        <f>AP2/$AQ$1</f>
        <v>21.33236356340289</v>
      </c>
      <c r="AR2" s="24">
        <f>AQ2*$AR$1</f>
        <v>255.98836276083466</v>
      </c>
      <c r="AS2" s="9"/>
      <c r="AT2" s="22">
        <v>12852</v>
      </c>
      <c r="AU2" s="25">
        <f>AT2/AQ2</f>
        <v>602.46488682803408</v>
      </c>
    </row>
    <row r="3" spans="1:47">
      <c r="A3" s="14"/>
      <c r="B3" s="26" t="s">
        <v>34</v>
      </c>
      <c r="C3" s="26" t="s">
        <v>35</v>
      </c>
      <c r="D3" s="16" t="s">
        <v>36</v>
      </c>
      <c r="E3" s="17">
        <f t="shared" si="0"/>
        <v>62600.6</v>
      </c>
      <c r="F3" s="17">
        <f t="shared" si="1"/>
        <v>82328.125</v>
      </c>
      <c r="G3" s="17">
        <f t="shared" ref="G3:G43" si="2">AVERAGE(W3:Z3)</f>
        <v>138558</v>
      </c>
      <c r="H3" s="17">
        <f t="shared" ref="H3:H43" si="3">AVERAGE(AA3:AD3)</f>
        <v>136314</v>
      </c>
      <c r="I3" s="18">
        <v>128708</v>
      </c>
      <c r="J3" s="18">
        <f>68841</f>
        <v>68841</v>
      </c>
      <c r="K3" s="18">
        <f>41674</f>
        <v>41674</v>
      </c>
      <c r="L3" s="18">
        <f>77476</f>
        <v>77476</v>
      </c>
      <c r="M3" s="18">
        <v>71438</v>
      </c>
      <c r="N3" s="18">
        <f>180+53394</f>
        <v>53574</v>
      </c>
      <c r="O3" s="18">
        <v>68830</v>
      </c>
      <c r="P3" s="18">
        <v>87699</v>
      </c>
      <c r="Q3" s="18">
        <v>79766</v>
      </c>
      <c r="R3" s="18">
        <v>76260</v>
      </c>
      <c r="S3" s="18">
        <v>95079</v>
      </c>
      <c r="T3" s="18">
        <v>75991</v>
      </c>
      <c r="U3" s="18">
        <v>86045</v>
      </c>
      <c r="V3" s="18">
        <v>88955</v>
      </c>
      <c r="W3" s="18">
        <v>117285</v>
      </c>
      <c r="X3" s="18">
        <v>156780</v>
      </c>
      <c r="Y3" s="18">
        <v>143245</v>
      </c>
      <c r="Z3" s="18">
        <v>136922</v>
      </c>
      <c r="AA3" s="18">
        <v>138365</v>
      </c>
      <c r="AB3" s="19">
        <v>134077</v>
      </c>
      <c r="AC3" s="19">
        <v>133218</v>
      </c>
      <c r="AD3" s="19">
        <v>139596</v>
      </c>
      <c r="AE3" s="45">
        <f t="shared" ref="AE3:AE43" si="4">SUM(I3:AD3)</f>
        <v>2199824</v>
      </c>
      <c r="AF3" s="27">
        <v>6.4500000000000002E-2</v>
      </c>
      <c r="AG3" s="45">
        <f>AE3*AF3</f>
        <v>141888.64800000002</v>
      </c>
      <c r="AH3" s="61">
        <f t="shared" ref="AH3:AH43" si="5">AG3/$AG$44*100</f>
        <v>3.4161599191049747</v>
      </c>
      <c r="AI3" s="61">
        <f t="shared" ref="AI3:AI43" si="6">AH3*$AI$44/100</f>
        <v>683231.98382099497</v>
      </c>
      <c r="AJ3" s="61">
        <f t="shared" ref="AJ3:AJ42" si="7">AI3/AF3</f>
        <v>10592743.935209224</v>
      </c>
      <c r="AK3" s="11">
        <f>AJ3/AR3</f>
        <v>38450.408467781221</v>
      </c>
      <c r="AL3" s="9"/>
      <c r="AN3" s="23">
        <f>[1]საპენსიო!D3</f>
        <v>87.473209249858996</v>
      </c>
      <c r="AO3" s="23">
        <f>[1]შშმპ!D3</f>
        <v>96.1875</v>
      </c>
      <c r="AP3" s="24">
        <f t="shared" ref="AP3:AP43" si="8">AVERAGE(AN3:AO3)</f>
        <v>91.830354624929498</v>
      </c>
      <c r="AQ3" s="24">
        <f t="shared" ref="AQ3:AQ43" si="9">AP3/$AQ$1</f>
        <v>22.957588656232375</v>
      </c>
      <c r="AR3" s="24">
        <f t="shared" ref="AR3:AR43" si="10">AQ3*$AR$1</f>
        <v>275.49106387478849</v>
      </c>
      <c r="AS3" s="9"/>
      <c r="AT3" s="22">
        <v>970805</v>
      </c>
      <c r="AU3" s="25">
        <f>AT3/AQ3</f>
        <v>42286.888860013278</v>
      </c>
    </row>
    <row r="4" spans="1:47">
      <c r="A4" s="26">
        <v>2</v>
      </c>
      <c r="B4" s="26" t="s">
        <v>37</v>
      </c>
      <c r="C4" s="26" t="s">
        <v>38</v>
      </c>
      <c r="D4" s="28" t="s">
        <v>39</v>
      </c>
      <c r="E4" s="17">
        <f t="shared" si="0"/>
        <v>44461.8</v>
      </c>
      <c r="F4" s="17">
        <f t="shared" si="1"/>
        <v>62495.625</v>
      </c>
      <c r="G4" s="17">
        <f t="shared" si="2"/>
        <v>127965.25</v>
      </c>
      <c r="H4" s="17">
        <f t="shared" si="3"/>
        <v>92294.25</v>
      </c>
      <c r="I4" s="18">
        <v>74656</v>
      </c>
      <c r="J4" s="18">
        <f>894+48877</f>
        <v>49771</v>
      </c>
      <c r="K4" s="18">
        <f>304+29577</f>
        <v>29881</v>
      </c>
      <c r="L4" s="18">
        <f>49670</f>
        <v>49670</v>
      </c>
      <c r="M4" s="18">
        <v>52667</v>
      </c>
      <c r="N4" s="18">
        <f>92+40228</f>
        <v>40320</v>
      </c>
      <c r="O4" s="18">
        <v>51024</v>
      </c>
      <c r="P4" s="18">
        <v>63258</v>
      </c>
      <c r="Q4" s="18">
        <v>59752</v>
      </c>
      <c r="R4" s="18">
        <v>57385</v>
      </c>
      <c r="S4" s="18">
        <v>78187</v>
      </c>
      <c r="T4" s="18">
        <v>57063</v>
      </c>
      <c r="U4" s="18">
        <v>65543</v>
      </c>
      <c r="V4" s="18">
        <v>67753</v>
      </c>
      <c r="W4" s="18">
        <v>107766</v>
      </c>
      <c r="X4" s="18">
        <v>143166</v>
      </c>
      <c r="Y4" s="18">
        <v>134239</v>
      </c>
      <c r="Z4" s="18">
        <v>126690</v>
      </c>
      <c r="AA4" s="18">
        <v>118049</v>
      </c>
      <c r="AB4" s="29">
        <f>2143+6105+111108</f>
        <v>119356</v>
      </c>
      <c r="AC4" s="29">
        <v>102458</v>
      </c>
      <c r="AD4" s="29">
        <v>29314</v>
      </c>
      <c r="AE4" s="45">
        <f t="shared" si="4"/>
        <v>1677968</v>
      </c>
      <c r="AF4" s="27">
        <v>0.21840000000000001</v>
      </c>
      <c r="AG4" s="45">
        <f>AE4*AF4</f>
        <v>366468.21120000002</v>
      </c>
      <c r="AH4" s="61">
        <f t="shared" si="5"/>
        <v>8.8232147699901748</v>
      </c>
      <c r="AI4" s="61">
        <f t="shared" si="6"/>
        <v>1764642.9539980348</v>
      </c>
      <c r="AJ4" s="61">
        <f t="shared" si="7"/>
        <v>8079867.0054855067</v>
      </c>
      <c r="AK4" s="11">
        <f>AJ4/AR4</f>
        <v>43177.2485207793</v>
      </c>
      <c r="AL4" s="9"/>
      <c r="AN4" s="23">
        <f>[1]საპენსიო!D4</f>
        <v>66.601855287569578</v>
      </c>
      <c r="AO4" s="23">
        <f>[1]შშმპ!D9</f>
        <v>58.153153153153156</v>
      </c>
      <c r="AP4" s="24">
        <f t="shared" si="8"/>
        <v>62.377504220361367</v>
      </c>
      <c r="AQ4" s="24">
        <f t="shared" si="9"/>
        <v>15.594376055090342</v>
      </c>
      <c r="AR4" s="24">
        <f t="shared" si="10"/>
        <v>187.13251266108409</v>
      </c>
      <c r="AS4" s="9"/>
      <c r="AT4" s="22">
        <v>160907</v>
      </c>
      <c r="AU4" s="25">
        <f>AT4/AQ4</f>
        <v>10318.271114635361</v>
      </c>
    </row>
    <row r="5" spans="1:47">
      <c r="A5" s="26">
        <v>3</v>
      </c>
      <c r="B5" s="26" t="s">
        <v>40</v>
      </c>
      <c r="C5" s="26" t="s">
        <v>40</v>
      </c>
      <c r="D5" s="30" t="s">
        <v>41</v>
      </c>
      <c r="E5" s="17">
        <f t="shared" si="0"/>
        <v>55445</v>
      </c>
      <c r="F5" s="17">
        <f t="shared" si="1"/>
        <v>108836.625</v>
      </c>
      <c r="G5" s="17">
        <f t="shared" si="2"/>
        <v>216440.25</v>
      </c>
      <c r="H5" s="17">
        <f t="shared" si="3"/>
        <v>227824</v>
      </c>
      <c r="I5" s="18">
        <v>0</v>
      </c>
      <c r="J5" s="18">
        <v>0</v>
      </c>
      <c r="K5" s="18">
        <v>11654</v>
      </c>
      <c r="L5" s="18">
        <f>125527</f>
        <v>125527</v>
      </c>
      <c r="M5" s="18">
        <v>76906</v>
      </c>
      <c r="N5" s="18">
        <f>63138</f>
        <v>63138</v>
      </c>
      <c r="O5" s="18">
        <v>94802</v>
      </c>
      <c r="P5" s="18">
        <v>103039</v>
      </c>
      <c r="Q5" s="18">
        <v>106262</v>
      </c>
      <c r="R5" s="18">
        <v>109933</v>
      </c>
      <c r="S5" s="18">
        <v>124788</v>
      </c>
      <c r="T5" s="18">
        <v>101734</v>
      </c>
      <c r="U5" s="18">
        <v>117850</v>
      </c>
      <c r="V5" s="18">
        <v>112285</v>
      </c>
      <c r="W5" s="18">
        <v>174735</v>
      </c>
      <c r="X5" s="18">
        <v>241015</v>
      </c>
      <c r="Y5" s="18">
        <v>224504</v>
      </c>
      <c r="Z5" s="18">
        <v>225507</v>
      </c>
      <c r="AA5" s="18">
        <v>231313</v>
      </c>
      <c r="AB5" s="19">
        <v>231431</v>
      </c>
      <c r="AC5" s="19">
        <v>237975</v>
      </c>
      <c r="AD5" s="19">
        <v>210577</v>
      </c>
      <c r="AE5" s="45">
        <f t="shared" si="4"/>
        <v>2924975</v>
      </c>
      <c r="AF5" s="31">
        <v>4.1000000000000002E-2</v>
      </c>
      <c r="AG5" s="45">
        <f>AE5*AF5</f>
        <v>119923.97500000001</v>
      </c>
      <c r="AH5" s="61">
        <f t="shared" si="5"/>
        <v>2.8873308929883312</v>
      </c>
      <c r="AI5" s="61">
        <f t="shared" si="6"/>
        <v>577466.17859766621</v>
      </c>
      <c r="AJ5" s="61">
        <f t="shared" si="7"/>
        <v>14084540.941406492</v>
      </c>
      <c r="AK5" s="11">
        <f>AJ5/AR5</f>
        <v>41137.996224484676</v>
      </c>
      <c r="AL5" s="9"/>
      <c r="AN5" s="23">
        <f>[1]საპენსიო!D17</f>
        <v>110.81858766233766</v>
      </c>
      <c r="AO5" s="23">
        <f>[1]შშმპ!D16</f>
        <v>117.43010752688173</v>
      </c>
      <c r="AP5" s="24">
        <f t="shared" si="8"/>
        <v>114.1243475946097</v>
      </c>
      <c r="AQ5" s="24">
        <f t="shared" si="9"/>
        <v>28.531086898652426</v>
      </c>
      <c r="AR5" s="24">
        <f t="shared" si="10"/>
        <v>342.37304278382908</v>
      </c>
      <c r="AS5" s="9"/>
      <c r="AT5" s="22">
        <v>1304050</v>
      </c>
      <c r="AU5" s="25">
        <f>AT5/AQ5</f>
        <v>45706.285380301888</v>
      </c>
    </row>
    <row r="6" spans="1:47" ht="27" customHeight="1">
      <c r="A6" s="26">
        <v>4</v>
      </c>
      <c r="B6" s="26" t="s">
        <v>42</v>
      </c>
      <c r="C6" s="26" t="s">
        <v>43</v>
      </c>
      <c r="D6" s="32" t="s">
        <v>44</v>
      </c>
      <c r="E6" s="17">
        <f t="shared" si="0"/>
        <v>28665.599999999999</v>
      </c>
      <c r="F6" s="17">
        <f t="shared" si="1"/>
        <v>37865.25</v>
      </c>
      <c r="G6" s="17">
        <f t="shared" si="2"/>
        <v>71543.75</v>
      </c>
      <c r="H6" s="17">
        <f t="shared" si="3"/>
        <v>58414</v>
      </c>
      <c r="I6" s="18">
        <v>71359</v>
      </c>
      <c r="J6" s="18">
        <f>103+23+219+92+90+92+5463+17825+10070</f>
        <v>33977</v>
      </c>
      <c r="K6" s="18">
        <f>71+46+91+92+2667+9088+6961</f>
        <v>19016</v>
      </c>
      <c r="L6" s="18">
        <f>90+230+5697+14666+13155</f>
        <v>33838</v>
      </c>
      <c r="M6" s="18">
        <v>31458</v>
      </c>
      <c r="N6" s="18">
        <f>1+138+115+2448+8277+14060</f>
        <v>25039</v>
      </c>
      <c r="O6" s="18">
        <v>32180</v>
      </c>
      <c r="P6" s="18">
        <v>40242</v>
      </c>
      <c r="Q6" s="18">
        <v>34672</v>
      </c>
      <c r="R6" s="18">
        <v>37150</v>
      </c>
      <c r="S6" s="18">
        <v>44130</v>
      </c>
      <c r="T6" s="18">
        <v>33373</v>
      </c>
      <c r="U6" s="18">
        <v>39863</v>
      </c>
      <c r="V6" s="18">
        <v>41312</v>
      </c>
      <c r="W6" s="18">
        <v>62328</v>
      </c>
      <c r="X6" s="18">
        <v>81237</v>
      </c>
      <c r="Y6" s="18">
        <v>72170</v>
      </c>
      <c r="Z6" s="18">
        <v>70440</v>
      </c>
      <c r="AA6" s="18">
        <v>70692</v>
      </c>
      <c r="AB6" s="19">
        <v>71155</v>
      </c>
      <c r="AC6" s="19">
        <v>64086</v>
      </c>
      <c r="AD6" s="19">
        <v>27723</v>
      </c>
      <c r="AE6" s="45">
        <f t="shared" si="4"/>
        <v>1037440</v>
      </c>
      <c r="AF6" s="31">
        <v>4.7500000000000001E-2</v>
      </c>
      <c r="AG6" s="45">
        <f>AE6*AF6</f>
        <v>49278.400000000001</v>
      </c>
      <c r="AH6" s="61">
        <f t="shared" si="5"/>
        <v>1.1864437171719513</v>
      </c>
      <c r="AI6" s="61">
        <f t="shared" si="6"/>
        <v>237288.74343439029</v>
      </c>
      <c r="AJ6" s="61">
        <f t="shared" si="7"/>
        <v>4995552.4933555853</v>
      </c>
      <c r="AK6" s="11">
        <f>AJ6/AR6</f>
        <v>27756.298249332449</v>
      </c>
      <c r="AL6" s="9"/>
      <c r="AN6" s="23">
        <f>[1]საპენსიო!D6</f>
        <v>57.986040609137056</v>
      </c>
      <c r="AO6" s="23">
        <f>[1]შშმპ!D4</f>
        <v>62</v>
      </c>
      <c r="AP6" s="24">
        <f t="shared" si="8"/>
        <v>59.993020304568532</v>
      </c>
      <c r="AQ6" s="24">
        <f t="shared" si="9"/>
        <v>14.998255076142133</v>
      </c>
      <c r="AR6" s="24">
        <f t="shared" si="10"/>
        <v>179.97906091370561</v>
      </c>
      <c r="AS6" s="9"/>
      <c r="AT6" s="22">
        <v>6776</v>
      </c>
      <c r="AU6" s="25">
        <f>AT6/AQ6</f>
        <v>451.78588879840078</v>
      </c>
    </row>
    <row r="7" spans="1:47" ht="30" customHeight="1">
      <c r="A7" s="26">
        <v>5</v>
      </c>
      <c r="B7" s="15" t="s">
        <v>45</v>
      </c>
      <c r="C7" s="26" t="s">
        <v>46</v>
      </c>
      <c r="D7" s="30" t="s">
        <v>47</v>
      </c>
      <c r="E7" s="17">
        <f t="shared" si="0"/>
        <v>12809.8</v>
      </c>
      <c r="F7" s="17">
        <f t="shared" si="1"/>
        <v>16399.375</v>
      </c>
      <c r="G7" s="17">
        <f t="shared" si="2"/>
        <v>36643.75</v>
      </c>
      <c r="H7" s="17">
        <f t="shared" si="3"/>
        <v>40709</v>
      </c>
      <c r="I7" s="18">
        <v>35172</v>
      </c>
      <c r="J7" s="18">
        <f>14677+300</f>
        <v>14977</v>
      </c>
      <c r="K7" s="18">
        <f>7169</f>
        <v>7169</v>
      </c>
      <c r="L7" s="18">
        <f>16509</f>
        <v>16509</v>
      </c>
      <c r="M7" s="18">
        <v>14056</v>
      </c>
      <c r="N7" s="18">
        <f>11338</f>
        <v>11338</v>
      </c>
      <c r="O7" s="18">
        <v>15140</v>
      </c>
      <c r="P7" s="18">
        <v>16835</v>
      </c>
      <c r="Q7" s="18">
        <v>15104</v>
      </c>
      <c r="R7" s="18">
        <v>15293</v>
      </c>
      <c r="S7" s="18">
        <v>18158</v>
      </c>
      <c r="T7" s="18">
        <v>14011</v>
      </c>
      <c r="U7" s="18">
        <v>19170</v>
      </c>
      <c r="V7" s="18">
        <v>17484</v>
      </c>
      <c r="W7" s="18">
        <v>31052</v>
      </c>
      <c r="X7" s="18">
        <v>40073</v>
      </c>
      <c r="Y7" s="18">
        <v>38322</v>
      </c>
      <c r="Z7" s="18">
        <v>37128</v>
      </c>
      <c r="AA7" s="18">
        <v>38507</v>
      </c>
      <c r="AB7" s="19">
        <v>37090</v>
      </c>
      <c r="AC7" s="19">
        <v>43811</v>
      </c>
      <c r="AD7" s="19">
        <v>43428</v>
      </c>
      <c r="AE7" s="45">
        <f t="shared" si="4"/>
        <v>539827</v>
      </c>
      <c r="AF7" s="33">
        <v>0.1034559</v>
      </c>
      <c r="AG7" s="45">
        <f>AE7*AF7</f>
        <v>55848.288129300003</v>
      </c>
      <c r="AH7" s="61">
        <f t="shared" si="5"/>
        <v>1.3446226047480614</v>
      </c>
      <c r="AI7" s="61">
        <f t="shared" si="6"/>
        <v>268924.52094961226</v>
      </c>
      <c r="AJ7" s="61">
        <f t="shared" si="7"/>
        <v>2599412.1258392441</v>
      </c>
      <c r="AK7" s="11">
        <f>AJ7/AR7</f>
        <v>10071.291805636649</v>
      </c>
      <c r="AL7" s="9"/>
      <c r="AN7" s="23">
        <f>[1]საპენსიო!D7</f>
        <v>84.567441860465109</v>
      </c>
      <c r="AO7" s="23">
        <f>[1]შშმპ!D5</f>
        <v>87.5</v>
      </c>
      <c r="AP7" s="24">
        <f t="shared" si="8"/>
        <v>86.033720930232562</v>
      </c>
      <c r="AQ7" s="24">
        <f t="shared" si="9"/>
        <v>21.50843023255814</v>
      </c>
      <c r="AR7" s="24">
        <f t="shared" si="10"/>
        <v>258.10116279069769</v>
      </c>
      <c r="AS7" s="9"/>
      <c r="AT7" s="22">
        <v>516988</v>
      </c>
      <c r="AU7" s="25">
        <f>AT7/AQ7</f>
        <v>24036.528673181147</v>
      </c>
    </row>
    <row r="8" spans="1:47" ht="25.5" customHeight="1">
      <c r="A8" s="26">
        <v>6</v>
      </c>
      <c r="B8" s="26" t="s">
        <v>48</v>
      </c>
      <c r="C8" s="26" t="s">
        <v>49</v>
      </c>
      <c r="D8" s="32" t="s">
        <v>44</v>
      </c>
      <c r="E8" s="17">
        <f t="shared" si="0"/>
        <v>3011.4</v>
      </c>
      <c r="F8" s="17">
        <f t="shared" si="1"/>
        <v>3165.375</v>
      </c>
      <c r="G8" s="17">
        <f t="shared" si="2"/>
        <v>8302.5</v>
      </c>
      <c r="H8" s="17">
        <f t="shared" si="3"/>
        <v>10258.5</v>
      </c>
      <c r="I8" s="18">
        <v>0</v>
      </c>
      <c r="J8" s="18">
        <v>2759</v>
      </c>
      <c r="K8" s="18">
        <v>3999</v>
      </c>
      <c r="L8" s="18">
        <f>2385</f>
        <v>2385</v>
      </c>
      <c r="M8" s="18">
        <v>2844</v>
      </c>
      <c r="N8" s="18">
        <f>3070</f>
        <v>3070</v>
      </c>
      <c r="O8" s="18">
        <v>2441</v>
      </c>
      <c r="P8" s="18">
        <v>2913</v>
      </c>
      <c r="Q8" s="18">
        <v>3614</v>
      </c>
      <c r="R8" s="18">
        <v>3529</v>
      </c>
      <c r="S8" s="18">
        <v>3254</v>
      </c>
      <c r="T8" s="18">
        <v>3147</v>
      </c>
      <c r="U8" s="18">
        <v>3592</v>
      </c>
      <c r="V8" s="18">
        <v>2833</v>
      </c>
      <c r="W8" s="18">
        <v>8669</v>
      </c>
      <c r="X8" s="18">
        <v>7654</v>
      </c>
      <c r="Y8" s="18">
        <v>7780</v>
      </c>
      <c r="Z8" s="18">
        <v>9107</v>
      </c>
      <c r="AA8" s="18">
        <v>9951</v>
      </c>
      <c r="AB8" s="19">
        <v>10209</v>
      </c>
      <c r="AC8" s="19">
        <v>10994</v>
      </c>
      <c r="AD8" s="19">
        <v>9880</v>
      </c>
      <c r="AE8" s="45">
        <f t="shared" si="4"/>
        <v>114624</v>
      </c>
      <c r="AF8" s="31">
        <v>0.188</v>
      </c>
      <c r="AG8" s="45">
        <f>AE8*AF8</f>
        <v>21549.312000000002</v>
      </c>
      <c r="AH8" s="61">
        <f t="shared" si="5"/>
        <v>0.51882865173743753</v>
      </c>
      <c r="AI8" s="61">
        <f t="shared" si="6"/>
        <v>103765.73034748749</v>
      </c>
      <c r="AJ8" s="61">
        <f t="shared" si="7"/>
        <v>551945.37418876321</v>
      </c>
      <c r="AK8" s="11">
        <f>AJ8/AR8</f>
        <v>1902.104635844654</v>
      </c>
      <c r="AL8" s="9"/>
      <c r="AN8" s="23">
        <f>[1]საპენსიო!D15</f>
        <v>77.575757575757578</v>
      </c>
      <c r="AO8" s="23">
        <f>[1]შშმპ!D15</f>
        <v>115.875</v>
      </c>
      <c r="AP8" s="24">
        <f t="shared" si="8"/>
        <v>96.725378787878782</v>
      </c>
      <c r="AQ8" s="24">
        <f t="shared" si="9"/>
        <v>24.181344696969695</v>
      </c>
      <c r="AR8" s="24">
        <f t="shared" si="10"/>
        <v>290.17613636363637</v>
      </c>
      <c r="AS8" s="9"/>
      <c r="AT8" s="22">
        <v>27649</v>
      </c>
      <c r="AU8" s="25">
        <f>AT8/AQ8</f>
        <v>1143.4020872902431</v>
      </c>
    </row>
    <row r="9" spans="1:47" ht="24.75" customHeight="1">
      <c r="A9" s="26">
        <v>7</v>
      </c>
      <c r="B9" s="26" t="s">
        <v>50</v>
      </c>
      <c r="C9" s="26" t="s">
        <v>51</v>
      </c>
      <c r="D9" s="32" t="s">
        <v>52</v>
      </c>
      <c r="E9" s="17">
        <f t="shared" si="0"/>
        <v>20840.8</v>
      </c>
      <c r="F9" s="17">
        <f t="shared" si="1"/>
        <v>29990.375</v>
      </c>
      <c r="G9" s="17">
        <f t="shared" si="2"/>
        <v>66727.75</v>
      </c>
      <c r="H9" s="17">
        <f t="shared" si="3"/>
        <v>75478</v>
      </c>
      <c r="I9" s="18">
        <v>56943</v>
      </c>
      <c r="J9" s="18">
        <v>22075</v>
      </c>
      <c r="K9" s="18">
        <v>12111</v>
      </c>
      <c r="L9" s="18">
        <f>26890</f>
        <v>26890</v>
      </c>
      <c r="M9" s="18">
        <v>24446</v>
      </c>
      <c r="N9" s="18">
        <f>18682</f>
        <v>18682</v>
      </c>
      <c r="O9" s="18">
        <v>27577</v>
      </c>
      <c r="P9" s="18">
        <v>31298</v>
      </c>
      <c r="Q9" s="18">
        <v>24233</v>
      </c>
      <c r="R9" s="18">
        <v>30732</v>
      </c>
      <c r="S9" s="18">
        <v>32988</v>
      </c>
      <c r="T9" s="18">
        <v>26408</v>
      </c>
      <c r="U9" s="18">
        <v>34308</v>
      </c>
      <c r="V9" s="18">
        <v>32379</v>
      </c>
      <c r="W9" s="18">
        <v>57431</v>
      </c>
      <c r="X9" s="18">
        <v>72802</v>
      </c>
      <c r="Y9" s="18">
        <v>68970</v>
      </c>
      <c r="Z9" s="18">
        <v>67708</v>
      </c>
      <c r="AA9" s="18">
        <v>74700</v>
      </c>
      <c r="AB9" s="29">
        <v>74139</v>
      </c>
      <c r="AC9" s="29">
        <v>76518</v>
      </c>
      <c r="AD9" s="29">
        <v>76555</v>
      </c>
      <c r="AE9" s="45">
        <f t="shared" si="4"/>
        <v>969893</v>
      </c>
      <c r="AF9" s="31">
        <v>6.6000000000000003E-2</v>
      </c>
      <c r="AG9" s="45">
        <f>AE9*AF9</f>
        <v>64012.938000000002</v>
      </c>
      <c r="AH9" s="61">
        <f t="shared" si="5"/>
        <v>1.5411975248347687</v>
      </c>
      <c r="AI9" s="61">
        <f t="shared" si="6"/>
        <v>308239.50496695371</v>
      </c>
      <c r="AJ9" s="61">
        <f t="shared" si="7"/>
        <v>4670295.5298023289</v>
      </c>
      <c r="AK9" s="11">
        <f>AJ9/AR9</f>
        <v>12694.197976452246</v>
      </c>
      <c r="AL9" s="9"/>
      <c r="AN9" s="23">
        <f>[1]საპენსიო!D8</f>
        <v>117.69565217391305</v>
      </c>
      <c r="AO9" s="23">
        <f>[1]შშმპ!D11</f>
        <v>127.57627118644068</v>
      </c>
      <c r="AP9" s="24">
        <f t="shared" si="8"/>
        <v>122.63596168017686</v>
      </c>
      <c r="AQ9" s="24">
        <f t="shared" si="9"/>
        <v>30.658990420044216</v>
      </c>
      <c r="AR9" s="24">
        <f t="shared" si="10"/>
        <v>367.90788504053057</v>
      </c>
      <c r="AS9" s="9"/>
      <c r="AT9" s="22">
        <v>1682441</v>
      </c>
      <c r="AU9" s="25">
        <f>AT9/AQ9</f>
        <v>54875.942650089833</v>
      </c>
    </row>
    <row r="10" spans="1:47" ht="25.5" customHeight="1">
      <c r="A10" s="26">
        <v>8</v>
      </c>
      <c r="B10" s="26" t="s">
        <v>53</v>
      </c>
      <c r="C10" s="26" t="s">
        <v>54</v>
      </c>
      <c r="D10" s="34" t="s">
        <v>55</v>
      </c>
      <c r="E10" s="17">
        <f t="shared" si="0"/>
        <v>32143.4</v>
      </c>
      <c r="F10" s="17">
        <f t="shared" si="1"/>
        <v>38286.375</v>
      </c>
      <c r="G10" s="17">
        <f t="shared" si="2"/>
        <v>70734.5</v>
      </c>
      <c r="H10" s="17">
        <f t="shared" si="3"/>
        <v>79779</v>
      </c>
      <c r="I10" s="18">
        <v>37254</v>
      </c>
      <c r="J10" s="18">
        <v>49150</v>
      </c>
      <c r="K10" s="18">
        <f>668+13686+92+5642</f>
        <v>20088</v>
      </c>
      <c r="L10" s="18">
        <f>1102+11045+1028+18908</f>
        <v>32083</v>
      </c>
      <c r="M10" s="18">
        <v>34438</v>
      </c>
      <c r="N10" s="18">
        <f>1174+18698+5086</f>
        <v>24958</v>
      </c>
      <c r="O10" s="18">
        <v>30837</v>
      </c>
      <c r="P10" s="18">
        <v>39593</v>
      </c>
      <c r="Q10" s="18">
        <v>35795</v>
      </c>
      <c r="R10" s="18">
        <v>32955</v>
      </c>
      <c r="S10" s="18">
        <v>48160</v>
      </c>
      <c r="T10" s="18">
        <v>37230</v>
      </c>
      <c r="U10" s="18">
        <v>39410</v>
      </c>
      <c r="V10" s="18">
        <v>42311</v>
      </c>
      <c r="W10" s="18">
        <v>66372</v>
      </c>
      <c r="X10" s="18">
        <v>80964</v>
      </c>
      <c r="Y10" s="18">
        <v>75701</v>
      </c>
      <c r="Z10" s="18">
        <v>59901</v>
      </c>
      <c r="AA10" s="18">
        <v>72905</v>
      </c>
      <c r="AB10" s="19">
        <v>81999</v>
      </c>
      <c r="AC10" s="19">
        <v>83146</v>
      </c>
      <c r="AD10" s="19">
        <v>81066</v>
      </c>
      <c r="AE10" s="45">
        <f t="shared" si="4"/>
        <v>1106316</v>
      </c>
      <c r="AF10" s="31">
        <v>0.155</v>
      </c>
      <c r="AG10" s="45">
        <f>AE10*AF10</f>
        <v>171478.98</v>
      </c>
      <c r="AH10" s="61">
        <f t="shared" si="5"/>
        <v>4.1285869356159033</v>
      </c>
      <c r="AI10" s="61">
        <f t="shared" si="6"/>
        <v>825717.38712318067</v>
      </c>
      <c r="AJ10" s="61">
        <f t="shared" si="7"/>
        <v>5327208.949181811</v>
      </c>
      <c r="AK10" s="11">
        <f>AJ10/AR10</f>
        <v>22273.545783403824</v>
      </c>
      <c r="AL10" s="9"/>
      <c r="AN10" s="23">
        <f>[1]საპენსიო!D14</f>
        <v>77.405156537753228</v>
      </c>
      <c r="AO10" s="23">
        <f>[1]შშმპ!D14</f>
        <v>82.042857142857144</v>
      </c>
      <c r="AP10" s="24">
        <f t="shared" si="8"/>
        <v>79.724006840305179</v>
      </c>
      <c r="AQ10" s="24">
        <f t="shared" si="9"/>
        <v>19.931001710076295</v>
      </c>
      <c r="AR10" s="24">
        <f t="shared" si="10"/>
        <v>239.17202052091554</v>
      </c>
      <c r="AS10" s="9"/>
      <c r="AT10" s="22">
        <v>124143</v>
      </c>
      <c r="AU10" s="25">
        <f>AT10/AQ10</f>
        <v>6228.6382694572949</v>
      </c>
    </row>
    <row r="11" spans="1:47" ht="40.5" customHeight="1">
      <c r="A11" s="26">
        <v>9</v>
      </c>
      <c r="B11" s="26" t="s">
        <v>56</v>
      </c>
      <c r="C11" s="26" t="s">
        <v>57</v>
      </c>
      <c r="D11" s="34" t="s">
        <v>58</v>
      </c>
      <c r="E11" s="17">
        <f t="shared" si="0"/>
        <v>15407.6</v>
      </c>
      <c r="F11" s="17">
        <f t="shared" si="1"/>
        <v>17747.875</v>
      </c>
      <c r="G11" s="17">
        <f t="shared" si="2"/>
        <v>32779.25</v>
      </c>
      <c r="H11" s="17">
        <f t="shared" si="3"/>
        <v>34241.25</v>
      </c>
      <c r="I11" s="18">
        <v>39979</v>
      </c>
      <c r="J11" s="18">
        <f>2529+14404+837+2536</f>
        <v>20306</v>
      </c>
      <c r="K11" s="18">
        <f>1774+7298+1212+1147</f>
        <v>11431</v>
      </c>
      <c r="L11" s="18">
        <f>2120+11319+1962+1944</f>
        <v>17345</v>
      </c>
      <c r="M11" s="18">
        <v>15502</v>
      </c>
      <c r="N11" s="18">
        <f>1800+7254+2436+964</f>
        <v>12454</v>
      </c>
      <c r="O11" s="18">
        <v>17248</v>
      </c>
      <c r="P11" s="18">
        <v>20487</v>
      </c>
      <c r="Q11" s="18">
        <v>14079</v>
      </c>
      <c r="R11" s="18">
        <v>18864</v>
      </c>
      <c r="S11" s="18">
        <v>19832</v>
      </c>
      <c r="T11" s="18">
        <v>13412</v>
      </c>
      <c r="U11" s="18">
        <v>19005</v>
      </c>
      <c r="V11" s="18">
        <v>19056</v>
      </c>
      <c r="W11" s="18">
        <v>32198</v>
      </c>
      <c r="X11" s="18">
        <v>38592</v>
      </c>
      <c r="Y11" s="18">
        <v>33194</v>
      </c>
      <c r="Z11" s="18">
        <v>27133</v>
      </c>
      <c r="AA11" s="18">
        <v>34869</v>
      </c>
      <c r="AB11" s="19">
        <v>37403</v>
      </c>
      <c r="AC11" s="19">
        <v>32044</v>
      </c>
      <c r="AD11" s="19">
        <v>32649</v>
      </c>
      <c r="AE11" s="45">
        <f t="shared" si="4"/>
        <v>527082</v>
      </c>
      <c r="AF11" s="31">
        <v>2.9399999999999999E-2</v>
      </c>
      <c r="AG11" s="45">
        <f>AE11*AF11</f>
        <v>15496.210799999999</v>
      </c>
      <c r="AH11" s="61">
        <f t="shared" si="5"/>
        <v>0.37309210411929239</v>
      </c>
      <c r="AI11" s="61">
        <f t="shared" si="6"/>
        <v>74618.420823858469</v>
      </c>
      <c r="AJ11" s="61">
        <f t="shared" si="7"/>
        <v>2538041.5246210364</v>
      </c>
      <c r="AK11" s="11">
        <f>AJ11/AR11</f>
        <v>11194.804237789895</v>
      </c>
      <c r="AL11" s="9"/>
      <c r="AN11" s="23">
        <f>[1]საპენსიო!D9</f>
        <v>70.788461538461533</v>
      </c>
      <c r="AO11" s="23">
        <f>[1]შშმპ!D17</f>
        <v>80.355555555555554</v>
      </c>
      <c r="AP11" s="24">
        <f t="shared" si="8"/>
        <v>75.572008547008551</v>
      </c>
      <c r="AQ11" s="24">
        <f t="shared" si="9"/>
        <v>18.893002136752138</v>
      </c>
      <c r="AR11" s="24">
        <f t="shared" si="10"/>
        <v>226.71602564102565</v>
      </c>
      <c r="AS11" s="9"/>
      <c r="AT11" s="22">
        <v>121039</v>
      </c>
      <c r="AU11" s="25">
        <f>AT11/AQ11</f>
        <v>6406.5519669076584</v>
      </c>
    </row>
    <row r="12" spans="1:47" ht="37.5" customHeight="1">
      <c r="A12" s="26">
        <v>10</v>
      </c>
      <c r="B12" s="26" t="s">
        <v>59</v>
      </c>
      <c r="C12" s="26" t="s">
        <v>59</v>
      </c>
      <c r="D12" s="16" t="s">
        <v>60</v>
      </c>
      <c r="E12" s="17">
        <f t="shared" si="0"/>
        <v>8689.4</v>
      </c>
      <c r="F12" s="17">
        <f t="shared" si="1"/>
        <v>13555.5</v>
      </c>
      <c r="G12" s="17">
        <f t="shared" si="2"/>
        <v>24737.25</v>
      </c>
      <c r="H12" s="17">
        <f t="shared" si="3"/>
        <v>28414</v>
      </c>
      <c r="I12" s="18">
        <v>0</v>
      </c>
      <c r="J12" s="18">
        <v>0</v>
      </c>
      <c r="K12" s="18">
        <v>7868</v>
      </c>
      <c r="L12" s="18">
        <f>14375</f>
        <v>14375</v>
      </c>
      <c r="M12" s="18">
        <v>11156</v>
      </c>
      <c r="N12" s="18">
        <f>10048</f>
        <v>10048</v>
      </c>
      <c r="O12" s="18">
        <v>12392</v>
      </c>
      <c r="P12" s="18">
        <v>14103</v>
      </c>
      <c r="Q12" s="18">
        <v>13297</v>
      </c>
      <c r="R12" s="18">
        <v>12604</v>
      </c>
      <c r="S12" s="18">
        <v>14359</v>
      </c>
      <c r="T12" s="18">
        <v>12716</v>
      </c>
      <c r="U12" s="18">
        <v>14051</v>
      </c>
      <c r="V12" s="18">
        <v>14922</v>
      </c>
      <c r="W12" s="18">
        <v>22164</v>
      </c>
      <c r="X12" s="18">
        <v>27374</v>
      </c>
      <c r="Y12" s="18">
        <v>25245</v>
      </c>
      <c r="Z12" s="18">
        <v>24166</v>
      </c>
      <c r="AA12" s="18">
        <v>27361</v>
      </c>
      <c r="AB12" s="19">
        <v>28311</v>
      </c>
      <c r="AC12" s="19">
        <v>29744</v>
      </c>
      <c r="AD12" s="19">
        <v>28240</v>
      </c>
      <c r="AE12" s="45">
        <f t="shared" si="4"/>
        <v>364496</v>
      </c>
      <c r="AF12" s="27">
        <v>6.1499999999999999E-2</v>
      </c>
      <c r="AG12" s="45">
        <f>AE12*AF12</f>
        <v>22416.504000000001</v>
      </c>
      <c r="AH12" s="61">
        <f t="shared" si="5"/>
        <v>0.5397074647667115</v>
      </c>
      <c r="AI12" s="61">
        <f t="shared" si="6"/>
        <v>107941.4929533423</v>
      </c>
      <c r="AJ12" s="61">
        <f t="shared" si="7"/>
        <v>1755146.2268836147</v>
      </c>
      <c r="AK12" s="11">
        <f>AJ12/AR12</f>
        <v>14806.669513848912</v>
      </c>
      <c r="AL12" s="9"/>
      <c r="AN12" s="23">
        <f>[1]საპენსიო!D16</f>
        <v>39.715504978662871</v>
      </c>
      <c r="AO12" s="23">
        <f>[1]შშმპ!D13</f>
        <v>39.30952380952381</v>
      </c>
      <c r="AP12" s="24">
        <f t="shared" si="8"/>
        <v>39.512514394093344</v>
      </c>
      <c r="AQ12" s="24">
        <f t="shared" si="9"/>
        <v>9.878128598523336</v>
      </c>
      <c r="AR12" s="24">
        <f t="shared" si="10"/>
        <v>118.53754318228003</v>
      </c>
      <c r="AS12" s="9"/>
      <c r="AT12" s="22">
        <v>845871</v>
      </c>
      <c r="AU12" s="25">
        <f>AT12/AQ12</f>
        <v>85630.693259697771</v>
      </c>
    </row>
    <row r="13" spans="1:47" ht="51" customHeight="1">
      <c r="A13" s="26">
        <v>11</v>
      </c>
      <c r="B13" s="26" t="s">
        <v>61</v>
      </c>
      <c r="C13" s="26" t="s">
        <v>62</v>
      </c>
      <c r="D13" s="16" t="s">
        <v>63</v>
      </c>
      <c r="E13" s="17">
        <f t="shared" si="0"/>
        <v>44384.4</v>
      </c>
      <c r="F13" s="17">
        <f t="shared" si="1"/>
        <v>58376</v>
      </c>
      <c r="G13" s="17">
        <f t="shared" si="2"/>
        <v>107546.25</v>
      </c>
      <c r="H13" s="17">
        <f t="shared" si="3"/>
        <v>119633.25</v>
      </c>
      <c r="I13" s="18">
        <v>116872</v>
      </c>
      <c r="J13" s="18">
        <v>54518</v>
      </c>
      <c r="K13" s="18">
        <f>368+9138+18725</f>
        <v>28231</v>
      </c>
      <c r="L13" s="18">
        <f>504+13261+39087</f>
        <v>52852</v>
      </c>
      <c r="M13" s="18">
        <v>49931</v>
      </c>
      <c r="N13" s="18">
        <f>10476+25914</f>
        <v>36390</v>
      </c>
      <c r="O13" s="18">
        <v>53175</v>
      </c>
      <c r="P13" s="18">
        <v>16046</v>
      </c>
      <c r="Q13" s="18">
        <v>97151</v>
      </c>
      <c r="R13" s="18">
        <v>57469</v>
      </c>
      <c r="S13" s="18">
        <v>66296</v>
      </c>
      <c r="T13" s="18">
        <v>51563</v>
      </c>
      <c r="U13" s="18">
        <v>64649</v>
      </c>
      <c r="V13" s="18">
        <v>60659</v>
      </c>
      <c r="W13" s="18">
        <v>97657</v>
      </c>
      <c r="X13" s="18">
        <v>118246</v>
      </c>
      <c r="Y13" s="18">
        <v>107252</v>
      </c>
      <c r="Z13" s="18">
        <v>107030</v>
      </c>
      <c r="AA13" s="18">
        <v>117604</v>
      </c>
      <c r="AB13" s="19">
        <v>114148</v>
      </c>
      <c r="AC13" s="19">
        <v>124387</v>
      </c>
      <c r="AD13" s="19">
        <v>122394</v>
      </c>
      <c r="AE13" s="45">
        <f t="shared" si="4"/>
        <v>1714520</v>
      </c>
      <c r="AF13" s="27">
        <v>0.1205</v>
      </c>
      <c r="AG13" s="45">
        <f>AE13*AF13</f>
        <v>206599.66</v>
      </c>
      <c r="AH13" s="61">
        <f t="shared" si="5"/>
        <v>4.9741645138003934</v>
      </c>
      <c r="AI13" s="61">
        <f t="shared" si="6"/>
        <v>994832.90276007866</v>
      </c>
      <c r="AJ13" s="61">
        <f t="shared" si="7"/>
        <v>8255874.7117018979</v>
      </c>
      <c r="AK13" s="11">
        <f>AJ13/AR13</f>
        <v>27927.257873732367</v>
      </c>
      <c r="AL13" s="9"/>
      <c r="AN13" s="23">
        <f>[1]საპენსიო!D10</f>
        <v>93.378066378066379</v>
      </c>
      <c r="AO13" s="23">
        <f>[1]შშმპ!D12</f>
        <v>103.70238095238095</v>
      </c>
      <c r="AP13" s="24">
        <f t="shared" si="8"/>
        <v>98.540223665223664</v>
      </c>
      <c r="AQ13" s="24">
        <f t="shared" si="9"/>
        <v>24.635055916305916</v>
      </c>
      <c r="AR13" s="24">
        <f t="shared" si="10"/>
        <v>295.62067099567099</v>
      </c>
      <c r="AS13" s="9"/>
      <c r="AT13" s="22">
        <v>759525</v>
      </c>
      <c r="AU13" s="25">
        <f>AT13/AQ13</f>
        <v>30831.064584565091</v>
      </c>
    </row>
    <row r="14" spans="1:47" ht="46.5" customHeight="1">
      <c r="A14" s="26">
        <v>12</v>
      </c>
      <c r="B14" s="26" t="s">
        <v>64</v>
      </c>
      <c r="C14" s="26" t="s">
        <v>65</v>
      </c>
      <c r="D14" s="34" t="s">
        <v>66</v>
      </c>
      <c r="E14" s="17">
        <f t="shared" si="0"/>
        <v>48634.2</v>
      </c>
      <c r="F14" s="17">
        <f t="shared" si="1"/>
        <v>66894.25</v>
      </c>
      <c r="G14" s="17">
        <f t="shared" si="2"/>
        <v>100176.75</v>
      </c>
      <c r="H14" s="17">
        <f t="shared" si="3"/>
        <v>128898.75</v>
      </c>
      <c r="I14" s="18">
        <v>70352</v>
      </c>
      <c r="J14" s="18">
        <f>57648</f>
        <v>57648</v>
      </c>
      <c r="K14" s="18">
        <f>32988</f>
        <v>32988</v>
      </c>
      <c r="L14" s="18">
        <f>52491</f>
        <v>52491</v>
      </c>
      <c r="M14" s="18">
        <v>57398</v>
      </c>
      <c r="N14" s="18">
        <f>42646</f>
        <v>42646</v>
      </c>
      <c r="O14" s="18">
        <v>55777</v>
      </c>
      <c r="P14" s="18">
        <v>67473</v>
      </c>
      <c r="Q14" s="18">
        <v>63449</v>
      </c>
      <c r="R14" s="18">
        <v>61564</v>
      </c>
      <c r="S14" s="18">
        <v>82603</v>
      </c>
      <c r="T14" s="18">
        <v>62189</v>
      </c>
      <c r="U14" s="18">
        <v>68137</v>
      </c>
      <c r="V14" s="18">
        <v>73962</v>
      </c>
      <c r="W14" s="18">
        <v>131382</v>
      </c>
      <c r="X14" s="18">
        <v>164451</v>
      </c>
      <c r="Y14" s="18">
        <v>89377</v>
      </c>
      <c r="Z14" s="18">
        <v>15497</v>
      </c>
      <c r="AA14" s="18">
        <v>88710</v>
      </c>
      <c r="AB14" s="19">
        <v>128733</v>
      </c>
      <c r="AC14" s="19">
        <v>149378</v>
      </c>
      <c r="AD14" s="19">
        <v>148774</v>
      </c>
      <c r="AE14" s="45">
        <f t="shared" si="4"/>
        <v>1764979</v>
      </c>
      <c r="AF14" s="35">
        <v>0.09</v>
      </c>
      <c r="AG14" s="45">
        <f>AE14*AF14</f>
        <v>158848.10999999999</v>
      </c>
      <c r="AH14" s="61">
        <f t="shared" si="5"/>
        <v>3.8244817626818044</v>
      </c>
      <c r="AI14" s="61">
        <f t="shared" si="6"/>
        <v>764896.35253636097</v>
      </c>
      <c r="AJ14" s="61">
        <f t="shared" si="7"/>
        <v>8498848.3615151215</v>
      </c>
      <c r="AK14" s="11">
        <f>AJ14/AR14</f>
        <v>38932.541935663226</v>
      </c>
      <c r="AL14" s="9"/>
      <c r="AN14" s="23">
        <f>[1]საპენსიო!D12</f>
        <v>70.693345742205679</v>
      </c>
      <c r="AO14" s="23">
        <f>[1]შშმპ!D7</f>
        <v>74.837837837837839</v>
      </c>
      <c r="AP14" s="24">
        <f t="shared" si="8"/>
        <v>72.765591790021759</v>
      </c>
      <c r="AQ14" s="24">
        <f t="shared" si="9"/>
        <v>18.19139794750544</v>
      </c>
      <c r="AR14" s="24">
        <f t="shared" si="10"/>
        <v>218.29677537006529</v>
      </c>
      <c r="AS14" s="9"/>
      <c r="AT14" s="22">
        <v>156923</v>
      </c>
      <c r="AU14" s="25">
        <f>AT14/AQ14</f>
        <v>8626.219955873079</v>
      </c>
    </row>
    <row r="15" spans="1:47" ht="46.5" customHeight="1">
      <c r="A15" s="26">
        <v>13</v>
      </c>
      <c r="B15" s="26" t="s">
        <v>67</v>
      </c>
      <c r="C15" s="26" t="s">
        <v>67</v>
      </c>
      <c r="D15" s="34" t="s">
        <v>68</v>
      </c>
      <c r="E15" s="17"/>
      <c r="F15" s="17"/>
      <c r="G15" s="17">
        <f t="shared" si="2"/>
        <v>99656.5</v>
      </c>
      <c r="H15" s="17">
        <f t="shared" si="3"/>
        <v>67065.75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>
        <v>0</v>
      </c>
      <c r="Z15" s="18">
        <v>199313</v>
      </c>
      <c r="AA15" s="18">
        <v>138489</v>
      </c>
      <c r="AB15" s="19">
        <v>43957</v>
      </c>
      <c r="AC15" s="19">
        <v>53947</v>
      </c>
      <c r="AD15" s="19">
        <v>31870</v>
      </c>
      <c r="AE15" s="45">
        <f t="shared" si="4"/>
        <v>467576</v>
      </c>
      <c r="AF15" s="35">
        <v>0.105</v>
      </c>
      <c r="AG15" s="45">
        <f>AE15*AF15</f>
        <v>49095.479999999996</v>
      </c>
      <c r="AH15" s="61">
        <f t="shared" si="5"/>
        <v>1.1820396723014788</v>
      </c>
      <c r="AI15" s="61">
        <f t="shared" si="6"/>
        <v>236407.93446029574</v>
      </c>
      <c r="AJ15" s="61">
        <f t="shared" si="7"/>
        <v>2251504.1377171022</v>
      </c>
      <c r="AK15" s="11">
        <f>AJ15/AR15</f>
        <v>7640.5526354545582</v>
      </c>
      <c r="AL15" s="9"/>
      <c r="AN15" s="23">
        <f>[1]საპენსიო!D11</f>
        <v>97.300604229607245</v>
      </c>
      <c r="AO15" s="23">
        <f>[1]შშმპ!D6</f>
        <v>99.151515151515156</v>
      </c>
      <c r="AP15" s="24">
        <f t="shared" si="8"/>
        <v>98.2260596905612</v>
      </c>
      <c r="AQ15" s="24">
        <f t="shared" si="9"/>
        <v>24.5565149226403</v>
      </c>
      <c r="AR15" s="24">
        <f t="shared" si="10"/>
        <v>294.67817907168359</v>
      </c>
      <c r="AS15" s="9"/>
      <c r="AT15" s="22">
        <v>1735389</v>
      </c>
      <c r="AU15" s="25">
        <f>AT15/AQ15</f>
        <v>70669.189234178673</v>
      </c>
    </row>
    <row r="16" spans="1:47" ht="46.5" customHeight="1">
      <c r="A16" s="26">
        <v>14</v>
      </c>
      <c r="B16" s="26" t="s">
        <v>69</v>
      </c>
      <c r="C16" s="26" t="s">
        <v>70</v>
      </c>
      <c r="D16" s="34" t="s">
        <v>71</v>
      </c>
      <c r="E16" s="17"/>
      <c r="F16" s="17"/>
      <c r="G16" s="17">
        <f t="shared" si="2"/>
        <v>5203.5</v>
      </c>
      <c r="H16" s="17">
        <f t="shared" si="3"/>
        <v>13615.75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>
        <v>0</v>
      </c>
      <c r="Z16" s="18">
        <v>10407</v>
      </c>
      <c r="AA16" s="18">
        <v>11936</v>
      </c>
      <c r="AB16" s="19">
        <v>13690</v>
      </c>
      <c r="AC16" s="19">
        <v>14570</v>
      </c>
      <c r="AD16" s="19">
        <v>14267</v>
      </c>
      <c r="AE16" s="45">
        <f t="shared" si="4"/>
        <v>64870</v>
      </c>
      <c r="AF16" s="36">
        <v>0.23400000000000001</v>
      </c>
      <c r="AG16" s="45">
        <f>AE16*AF16</f>
        <v>15179.580000000002</v>
      </c>
      <c r="AH16" s="61">
        <f t="shared" si="5"/>
        <v>0.36546879201250471</v>
      </c>
      <c r="AI16" s="61">
        <f t="shared" si="6"/>
        <v>73093.758402500942</v>
      </c>
      <c r="AJ16" s="61">
        <f t="shared" si="7"/>
        <v>312366.48889957665</v>
      </c>
      <c r="AK16" s="11">
        <f>AJ16/AR16</f>
        <v>2968.9268991943882</v>
      </c>
      <c r="AL16" s="9"/>
      <c r="AN16" s="23">
        <f>[1]საპენსიო!D13</f>
        <v>37.95945945945946</v>
      </c>
      <c r="AO16" s="23">
        <f>[1]შშმპ!D8</f>
        <v>32.18181818181818</v>
      </c>
      <c r="AP16" s="24">
        <f t="shared" si="8"/>
        <v>35.07063882063882</v>
      </c>
      <c r="AQ16" s="24">
        <f t="shared" si="9"/>
        <v>8.7676597051597049</v>
      </c>
      <c r="AR16" s="24">
        <f t="shared" si="10"/>
        <v>105.21191646191646</v>
      </c>
      <c r="AS16" s="9"/>
      <c r="AT16" s="22">
        <v>408402</v>
      </c>
      <c r="AU16" s="25">
        <f>AT16/AQ16</f>
        <v>46580.503091339</v>
      </c>
    </row>
    <row r="17" spans="1:47" ht="46.5" customHeight="1">
      <c r="A17" s="26">
        <v>15</v>
      </c>
      <c r="B17" s="37" t="s">
        <v>72</v>
      </c>
      <c r="C17" s="26" t="s">
        <v>73</v>
      </c>
      <c r="D17" s="34" t="s">
        <v>60</v>
      </c>
      <c r="E17" s="17"/>
      <c r="F17" s="17"/>
      <c r="G17" s="17">
        <f t="shared" si="2"/>
        <v>0</v>
      </c>
      <c r="H17" s="17">
        <f t="shared" si="3"/>
        <v>22701.5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>
        <v>0</v>
      </c>
      <c r="AA17" s="18">
        <v>9963</v>
      </c>
      <c r="AB17" s="19">
        <v>21402</v>
      </c>
      <c r="AC17" s="19">
        <v>23577</v>
      </c>
      <c r="AD17" s="19">
        <v>35864</v>
      </c>
      <c r="AE17" s="45">
        <f t="shared" si="4"/>
        <v>90806</v>
      </c>
      <c r="AF17" s="35">
        <v>0.316</v>
      </c>
      <c r="AG17" s="45">
        <f>AE17*AF17</f>
        <v>28694.696</v>
      </c>
      <c r="AH17" s="61">
        <f t="shared" si="5"/>
        <v>0.6908633759488767</v>
      </c>
      <c r="AI17" s="61">
        <f t="shared" si="6"/>
        <v>138172.67518977533</v>
      </c>
      <c r="AJ17" s="61">
        <f t="shared" si="7"/>
        <v>437255.30123346625</v>
      </c>
      <c r="AK17" s="11">
        <f>AJ17/AR17</f>
        <v>4858.3922359274029</v>
      </c>
      <c r="AL17" s="9"/>
      <c r="AN17" s="23"/>
      <c r="AO17" s="23">
        <f>[1]შშმპ!D28</f>
        <v>30</v>
      </c>
      <c r="AP17" s="24">
        <f t="shared" si="8"/>
        <v>30</v>
      </c>
      <c r="AQ17" s="24">
        <f t="shared" si="9"/>
        <v>7.5</v>
      </c>
      <c r="AR17" s="24">
        <f t="shared" si="10"/>
        <v>90</v>
      </c>
      <c r="AS17" s="9"/>
      <c r="AT17" s="22">
        <v>743338</v>
      </c>
      <c r="AU17" s="25">
        <f>AT17/AQ17</f>
        <v>99111.733333333337</v>
      </c>
    </row>
    <row r="18" spans="1:47" ht="46.5" customHeight="1">
      <c r="A18" s="26">
        <v>16</v>
      </c>
      <c r="B18" s="37" t="s">
        <v>74</v>
      </c>
      <c r="C18" s="26" t="s">
        <v>75</v>
      </c>
      <c r="D18" s="34" t="s">
        <v>60</v>
      </c>
      <c r="E18" s="17"/>
      <c r="F18" s="17"/>
      <c r="G18" s="17">
        <f t="shared" si="2"/>
        <v>92</v>
      </c>
      <c r="H18" s="17">
        <f t="shared" si="3"/>
        <v>41466.75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>
        <v>92</v>
      </c>
      <c r="AA18" s="18">
        <v>18621</v>
      </c>
      <c r="AB18" s="19">
        <v>37794</v>
      </c>
      <c r="AC18" s="19">
        <v>50309</v>
      </c>
      <c r="AD18" s="19">
        <v>59143</v>
      </c>
      <c r="AE18" s="45">
        <f t="shared" si="4"/>
        <v>165959</v>
      </c>
      <c r="AF18" s="35">
        <v>0.38</v>
      </c>
      <c r="AG18" s="45">
        <f>AE18*AF18</f>
        <v>63064.42</v>
      </c>
      <c r="AH18" s="61">
        <f t="shared" si="5"/>
        <v>1.5183606790417943</v>
      </c>
      <c r="AI18" s="61">
        <f t="shared" si="6"/>
        <v>303672.13580835884</v>
      </c>
      <c r="AJ18" s="61">
        <f t="shared" si="7"/>
        <v>799137.1994956811</v>
      </c>
      <c r="AL18" s="9"/>
      <c r="AN18" s="23"/>
      <c r="AO18" s="23"/>
      <c r="AP18" s="24"/>
      <c r="AQ18" s="24">
        <f t="shared" si="9"/>
        <v>0</v>
      </c>
      <c r="AR18" s="24">
        <f t="shared" si="10"/>
        <v>0</v>
      </c>
      <c r="AS18" s="9"/>
      <c r="AT18" s="22">
        <v>851106</v>
      </c>
    </row>
    <row r="19" spans="1:47" ht="46.5" customHeight="1">
      <c r="A19" s="26">
        <v>18</v>
      </c>
      <c r="B19" s="37" t="s">
        <v>76</v>
      </c>
      <c r="C19" s="26" t="s">
        <v>77</v>
      </c>
      <c r="D19" s="34" t="s">
        <v>78</v>
      </c>
      <c r="E19" s="17"/>
      <c r="F19" s="17"/>
      <c r="G19" s="17">
        <f t="shared" si="2"/>
        <v>14476</v>
      </c>
      <c r="H19" s="17">
        <f t="shared" si="3"/>
        <v>83265.75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>
        <v>14476</v>
      </c>
      <c r="AA19" s="18">
        <v>64466</v>
      </c>
      <c r="AB19" s="19">
        <v>102410</v>
      </c>
      <c r="AC19" s="19">
        <v>128627</v>
      </c>
      <c r="AD19" s="19">
        <v>37560</v>
      </c>
      <c r="AE19" s="45">
        <f t="shared" si="4"/>
        <v>347539</v>
      </c>
      <c r="AF19" s="27">
        <v>6.7500000000000004E-2</v>
      </c>
      <c r="AG19" s="45">
        <f>AE19*AF19</f>
        <v>23458.882500000003</v>
      </c>
      <c r="AH19" s="61">
        <f t="shared" si="5"/>
        <v>0.56480412825903525</v>
      </c>
      <c r="AI19" s="61">
        <f t="shared" si="6"/>
        <v>112960.82565180706</v>
      </c>
      <c r="AJ19" s="61">
        <f t="shared" si="7"/>
        <v>1673493.7133601045</v>
      </c>
      <c r="AL19" s="9"/>
      <c r="AN19" s="23"/>
      <c r="AO19" s="23"/>
      <c r="AP19" s="24"/>
      <c r="AQ19" s="24">
        <f t="shared" si="9"/>
        <v>0</v>
      </c>
      <c r="AR19" s="24">
        <f t="shared" si="10"/>
        <v>0</v>
      </c>
      <c r="AS19" s="9"/>
      <c r="AT19" s="22">
        <v>1812679</v>
      </c>
    </row>
    <row r="20" spans="1:47" ht="46.5" customHeight="1">
      <c r="A20" s="26">
        <v>19</v>
      </c>
      <c r="B20" s="37" t="s">
        <v>79</v>
      </c>
      <c r="C20" s="26" t="s">
        <v>80</v>
      </c>
      <c r="D20" s="34" t="s">
        <v>81</v>
      </c>
      <c r="E20" s="17"/>
      <c r="F20" s="17"/>
      <c r="G20" s="17">
        <f t="shared" si="2"/>
        <v>152</v>
      </c>
      <c r="H20" s="17">
        <f t="shared" si="3"/>
        <v>34770.75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>
        <v>152</v>
      </c>
      <c r="AA20" s="18">
        <v>19619</v>
      </c>
      <c r="AB20" s="19">
        <v>36603</v>
      </c>
      <c r="AC20" s="19">
        <v>40167</v>
      </c>
      <c r="AD20" s="19">
        <v>42694</v>
      </c>
      <c r="AE20" s="45">
        <f t="shared" si="4"/>
        <v>139235</v>
      </c>
      <c r="AF20" s="35">
        <v>0.06</v>
      </c>
      <c r="AG20" s="45">
        <f>AE20*AF20</f>
        <v>8354.1</v>
      </c>
      <c r="AH20" s="61">
        <f t="shared" si="5"/>
        <v>0.2011361865974991</v>
      </c>
      <c r="AI20" s="61">
        <f t="shared" si="6"/>
        <v>40227.237319499822</v>
      </c>
      <c r="AJ20" s="61">
        <f t="shared" si="7"/>
        <v>670453.95532499708</v>
      </c>
      <c r="AK20" s="11">
        <f>AJ20/AR20</f>
        <v>3663.6828159835904</v>
      </c>
      <c r="AL20" s="9"/>
      <c r="AN20" s="23">
        <f>[1]საპენსიო!D29</f>
        <v>61</v>
      </c>
      <c r="AO20" s="23"/>
      <c r="AP20" s="24">
        <f t="shared" si="8"/>
        <v>61</v>
      </c>
      <c r="AQ20" s="24">
        <f t="shared" si="9"/>
        <v>15.25</v>
      </c>
      <c r="AR20" s="24">
        <f t="shared" si="10"/>
        <v>183</v>
      </c>
      <c r="AS20" s="9"/>
      <c r="AT20" s="22">
        <v>1501133</v>
      </c>
    </row>
    <row r="21" spans="1:47" ht="46.5" customHeight="1">
      <c r="A21" s="26">
        <v>20</v>
      </c>
      <c r="B21" s="37" t="s">
        <v>82</v>
      </c>
      <c r="C21" s="37" t="s">
        <v>83</v>
      </c>
      <c r="D21" s="34" t="s">
        <v>78</v>
      </c>
      <c r="E21" s="17"/>
      <c r="F21" s="17"/>
      <c r="G21" s="17">
        <f t="shared" si="2"/>
        <v>5620</v>
      </c>
      <c r="H21" s="17">
        <f t="shared" si="3"/>
        <v>35194.75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>
        <v>5620</v>
      </c>
      <c r="AA21" s="18">
        <v>23666</v>
      </c>
      <c r="AB21" s="19">
        <v>35141</v>
      </c>
      <c r="AC21" s="19">
        <v>40081</v>
      </c>
      <c r="AD21" s="19">
        <v>41891</v>
      </c>
      <c r="AE21" s="45">
        <f t="shared" si="4"/>
        <v>146399</v>
      </c>
      <c r="AF21" s="36">
        <v>0.14899999999999999</v>
      </c>
      <c r="AG21" s="45">
        <f>AE21*AF21</f>
        <v>21813.450999999997</v>
      </c>
      <c r="AH21" s="61">
        <f t="shared" si="5"/>
        <v>0.525188153202787</v>
      </c>
      <c r="AI21" s="61">
        <f t="shared" si="6"/>
        <v>105037.63064055741</v>
      </c>
      <c r="AJ21" s="61">
        <f t="shared" si="7"/>
        <v>704950.54121179471</v>
      </c>
      <c r="AK21" s="11">
        <f>AJ21/AR21</f>
        <v>5070.1836988953419</v>
      </c>
      <c r="AL21" s="9"/>
      <c r="AN21" s="23">
        <f>[1]საპენსიო!D35</f>
        <v>54.692307692307693</v>
      </c>
      <c r="AO21" s="23">
        <f>[1]შშმპ!D36</f>
        <v>38</v>
      </c>
      <c r="AP21" s="24">
        <f t="shared" si="8"/>
        <v>46.346153846153847</v>
      </c>
      <c r="AQ21" s="24">
        <f t="shared" si="9"/>
        <v>11.586538461538462</v>
      </c>
      <c r="AR21" s="24">
        <f t="shared" si="10"/>
        <v>139.03846153846155</v>
      </c>
      <c r="AS21" s="9"/>
      <c r="AT21" s="22">
        <v>1800628</v>
      </c>
    </row>
    <row r="22" spans="1:47" ht="46.5" customHeight="1">
      <c r="A22" s="26">
        <v>22</v>
      </c>
      <c r="B22" s="37" t="s">
        <v>84</v>
      </c>
      <c r="C22" s="26" t="s">
        <v>85</v>
      </c>
      <c r="D22" s="34" t="s">
        <v>86</v>
      </c>
      <c r="E22" s="17"/>
      <c r="F22" s="17"/>
      <c r="G22" s="17">
        <f t="shared" si="2"/>
        <v>16901</v>
      </c>
      <c r="H22" s="17">
        <f t="shared" si="3"/>
        <v>132485.75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>
        <v>16901</v>
      </c>
      <c r="AA22" s="18">
        <v>84884</v>
      </c>
      <c r="AB22" s="19">
        <v>131581</v>
      </c>
      <c r="AC22" s="19">
        <v>153370</v>
      </c>
      <c r="AD22" s="19">
        <v>160108</v>
      </c>
      <c r="AE22" s="45">
        <f t="shared" si="4"/>
        <v>546844</v>
      </c>
      <c r="AF22" s="35">
        <v>7.2099999999999997E-2</v>
      </c>
      <c r="AG22" s="45">
        <f>AE22*AF22</f>
        <v>39427.452400000002</v>
      </c>
      <c r="AH22" s="61">
        <f t="shared" si="5"/>
        <v>0.94926891262857926</v>
      </c>
      <c r="AI22" s="61">
        <f t="shared" si="6"/>
        <v>189853.78252571585</v>
      </c>
      <c r="AJ22" s="61">
        <f t="shared" si="7"/>
        <v>2633200.8672082643</v>
      </c>
      <c r="AK22" s="11">
        <f>AJ22/AR22</f>
        <v>12740.328874128476</v>
      </c>
      <c r="AL22" s="9"/>
      <c r="AN22" s="23">
        <f>[1]საპენსიო!D31</f>
        <v>72.359649122807014</v>
      </c>
      <c r="AO22" s="23">
        <f>[1]შშმპ!D31</f>
        <v>65.428571428571431</v>
      </c>
      <c r="AP22" s="24">
        <f t="shared" si="8"/>
        <v>68.894110275689229</v>
      </c>
      <c r="AQ22" s="24">
        <f t="shared" si="9"/>
        <v>17.223527568922307</v>
      </c>
      <c r="AR22" s="24">
        <f t="shared" si="10"/>
        <v>206.68233082706769</v>
      </c>
      <c r="AS22" s="9"/>
      <c r="AT22" s="22">
        <v>20329792</v>
      </c>
    </row>
    <row r="23" spans="1:47" ht="46.5" customHeight="1">
      <c r="A23" s="26">
        <v>23</v>
      </c>
      <c r="B23" s="37" t="s">
        <v>87</v>
      </c>
      <c r="C23" s="26" t="s">
        <v>88</v>
      </c>
      <c r="D23" s="34" t="s">
        <v>89</v>
      </c>
      <c r="E23" s="17"/>
      <c r="F23" s="17"/>
      <c r="G23" s="17">
        <f t="shared" si="2"/>
        <v>2114</v>
      </c>
      <c r="H23" s="17">
        <f t="shared" si="3"/>
        <v>21529.5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>
        <v>2114</v>
      </c>
      <c r="AA23" s="18">
        <v>15922</v>
      </c>
      <c r="AB23" s="19">
        <v>19185</v>
      </c>
      <c r="AC23" s="19">
        <v>23726</v>
      </c>
      <c r="AD23" s="19">
        <v>27285</v>
      </c>
      <c r="AE23" s="45">
        <f t="shared" si="4"/>
        <v>88232</v>
      </c>
      <c r="AF23" s="35">
        <v>0.08</v>
      </c>
      <c r="AG23" s="45">
        <f>AE23*AF23</f>
        <v>7058.56</v>
      </c>
      <c r="AH23" s="61">
        <f t="shared" si="5"/>
        <v>0.16994431970764576</v>
      </c>
      <c r="AI23" s="61">
        <f t="shared" si="6"/>
        <v>33988.863941529155</v>
      </c>
      <c r="AJ23" s="61">
        <f t="shared" si="7"/>
        <v>424860.79926911445</v>
      </c>
      <c r="AK23" s="11">
        <f>AJ23/AR23</f>
        <v>2370.7357374781714</v>
      </c>
      <c r="AL23" s="9"/>
      <c r="AN23" s="23">
        <f>[1]საპენსიო!D30</f>
        <v>59.736842105263158</v>
      </c>
      <c r="AO23" s="23"/>
      <c r="AP23" s="24">
        <f t="shared" si="8"/>
        <v>59.736842105263158</v>
      </c>
      <c r="AQ23" s="24">
        <f t="shared" si="9"/>
        <v>14.934210526315789</v>
      </c>
      <c r="AR23" s="24">
        <f t="shared" si="10"/>
        <v>179.21052631578948</v>
      </c>
      <c r="AS23" s="9"/>
      <c r="AT23" s="22">
        <v>4642341</v>
      </c>
    </row>
    <row r="24" spans="1:47" ht="33.75" customHeight="1">
      <c r="A24" s="26">
        <v>24</v>
      </c>
      <c r="B24" s="26" t="s">
        <v>90</v>
      </c>
      <c r="C24" s="26" t="s">
        <v>91</v>
      </c>
      <c r="D24" s="32" t="s">
        <v>92</v>
      </c>
      <c r="E24" s="17">
        <f t="shared" ref="E24:E31" si="11">AVERAGE(J24:N24)</f>
        <v>111386.8</v>
      </c>
      <c r="F24" s="17">
        <f t="shared" ref="F24:F31" si="12">AVERAGE(O24:V24)</f>
        <v>170083.625</v>
      </c>
      <c r="G24" s="17">
        <f t="shared" si="2"/>
        <v>340627</v>
      </c>
      <c r="H24" s="17">
        <f t="shared" si="3"/>
        <v>413211</v>
      </c>
      <c r="I24" s="18">
        <v>255662</v>
      </c>
      <c r="J24" s="18">
        <v>103969</v>
      </c>
      <c r="K24" s="18">
        <f>14393+31795+12615+6244+1102</f>
        <v>66149</v>
      </c>
      <c r="L24" s="18">
        <f>31487+100998+25728+1020</f>
        <v>159233</v>
      </c>
      <c r="M24" s="18">
        <v>129089</v>
      </c>
      <c r="N24" s="38">
        <f>6352+51394+39920+828</f>
        <v>98494</v>
      </c>
      <c r="O24" s="38">
        <v>168080</v>
      </c>
      <c r="P24" s="38">
        <v>168944</v>
      </c>
      <c r="Q24" s="38">
        <v>137425</v>
      </c>
      <c r="R24" s="38">
        <v>172936</v>
      </c>
      <c r="S24" s="38">
        <v>195246</v>
      </c>
      <c r="T24" s="38">
        <v>141714</v>
      </c>
      <c r="U24" s="38">
        <v>185410</v>
      </c>
      <c r="V24" s="38">
        <v>190914</v>
      </c>
      <c r="W24" s="38">
        <v>277656</v>
      </c>
      <c r="X24" s="38">
        <v>352098</v>
      </c>
      <c r="Y24" s="38">
        <v>363351</v>
      </c>
      <c r="Z24" s="38">
        <v>369403</v>
      </c>
      <c r="AA24" s="38">
        <v>398024</v>
      </c>
      <c r="AB24" s="39">
        <v>426880</v>
      </c>
      <c r="AC24" s="39">
        <v>422016</v>
      </c>
      <c r="AD24" s="39">
        <v>405924</v>
      </c>
      <c r="AE24" s="45">
        <f t="shared" si="4"/>
        <v>5188617</v>
      </c>
      <c r="AF24" s="36">
        <v>8.4500000000000006E-2</v>
      </c>
      <c r="AG24" s="45">
        <f>AE24*AF24</f>
        <v>438438.13650000002</v>
      </c>
      <c r="AH24" s="61">
        <f t="shared" si="5"/>
        <v>10.555987459394043</v>
      </c>
      <c r="AI24" s="61">
        <f t="shared" si="6"/>
        <v>2111197.4918788085</v>
      </c>
      <c r="AJ24" s="61">
        <f t="shared" si="7"/>
        <v>24984585.70270779</v>
      </c>
      <c r="AK24" s="11">
        <f>AJ24/AR24</f>
        <v>57561.031279130213</v>
      </c>
      <c r="AL24" s="9"/>
      <c r="AN24" s="23">
        <f>[1]საპენსიო!D18</f>
        <v>143.02982162764772</v>
      </c>
      <c r="AO24" s="23">
        <f>[1]შშმპ!D19</f>
        <v>146.33939393939394</v>
      </c>
      <c r="AP24" s="24">
        <f t="shared" si="8"/>
        <v>144.68460778352085</v>
      </c>
      <c r="AQ24" s="24">
        <f t="shared" si="9"/>
        <v>36.171151945880212</v>
      </c>
      <c r="AR24" s="24">
        <f t="shared" si="10"/>
        <v>434.05382335056254</v>
      </c>
      <c r="AS24" s="9"/>
      <c r="AT24" s="22">
        <v>823420</v>
      </c>
    </row>
    <row r="25" spans="1:47" ht="51.75" customHeight="1">
      <c r="A25" s="26">
        <v>25</v>
      </c>
      <c r="B25" s="26" t="s">
        <v>93</v>
      </c>
      <c r="C25" s="26" t="s">
        <v>94</v>
      </c>
      <c r="D25" s="34" t="s">
        <v>95</v>
      </c>
      <c r="E25" s="17">
        <f t="shared" si="11"/>
        <v>29537.8</v>
      </c>
      <c r="F25" s="17">
        <f t="shared" si="12"/>
        <v>59391.375</v>
      </c>
      <c r="G25" s="17">
        <f t="shared" si="2"/>
        <v>107459.75</v>
      </c>
      <c r="H25" s="17">
        <f t="shared" si="3"/>
        <v>148344.75</v>
      </c>
      <c r="I25" s="18">
        <v>22614</v>
      </c>
      <c r="J25" s="18">
        <f>3092+8803</f>
        <v>11895</v>
      </c>
      <c r="K25" s="18">
        <v>700</v>
      </c>
      <c r="L25" s="18">
        <f>562+329+28856</f>
        <v>29747</v>
      </c>
      <c r="M25" s="18">
        <v>79226</v>
      </c>
      <c r="N25" s="18">
        <f>26120+1</f>
        <v>26121</v>
      </c>
      <c r="O25" s="18">
        <v>51767</v>
      </c>
      <c r="P25" s="18">
        <v>64413</v>
      </c>
      <c r="Q25" s="18">
        <v>45245</v>
      </c>
      <c r="R25" s="18">
        <v>53493</v>
      </c>
      <c r="S25" s="18">
        <v>75130</v>
      </c>
      <c r="T25" s="18">
        <v>47604</v>
      </c>
      <c r="U25" s="18">
        <v>60976</v>
      </c>
      <c r="V25" s="18">
        <v>76503</v>
      </c>
      <c r="W25" s="18">
        <v>99668</v>
      </c>
      <c r="X25" s="18">
        <v>130154</v>
      </c>
      <c r="Y25" s="18">
        <v>97303</v>
      </c>
      <c r="Z25" s="18">
        <v>102714</v>
      </c>
      <c r="AA25" s="18">
        <v>167394</v>
      </c>
      <c r="AB25" s="19">
        <v>142531</v>
      </c>
      <c r="AC25" s="19">
        <v>138106</v>
      </c>
      <c r="AD25" s="19">
        <v>145348</v>
      </c>
      <c r="AE25" s="45">
        <f t="shared" si="4"/>
        <v>1668652</v>
      </c>
      <c r="AF25" s="40">
        <v>0.1119</v>
      </c>
      <c r="AG25" s="45">
        <f>AE25*AF25</f>
        <v>186722.1588</v>
      </c>
      <c r="AH25" s="61">
        <f t="shared" si="5"/>
        <v>4.4955869542242324</v>
      </c>
      <c r="AI25" s="61">
        <f t="shared" si="6"/>
        <v>899117.39084484649</v>
      </c>
      <c r="AJ25" s="61">
        <f t="shared" si="7"/>
        <v>8035007.9610799504</v>
      </c>
      <c r="AK25" s="11">
        <f>AJ25/AR25</f>
        <v>31749.660445694863</v>
      </c>
      <c r="AL25" s="9"/>
      <c r="AN25" s="23">
        <f>[1]საპენსიო!D20</f>
        <v>83.653382275825905</v>
      </c>
      <c r="AO25" s="23">
        <f>[1]შშმპ!D20</f>
        <v>85.0625</v>
      </c>
      <c r="AP25" s="24">
        <f t="shared" si="8"/>
        <v>84.357941137912945</v>
      </c>
      <c r="AQ25" s="24">
        <f t="shared" si="9"/>
        <v>21.089485284478236</v>
      </c>
      <c r="AR25" s="24">
        <f t="shared" si="10"/>
        <v>253.07382341373884</v>
      </c>
      <c r="AS25" s="9"/>
      <c r="AT25" s="22">
        <v>610238</v>
      </c>
    </row>
    <row r="26" spans="1:47">
      <c r="A26" s="26">
        <v>26</v>
      </c>
      <c r="B26" s="26" t="s">
        <v>96</v>
      </c>
      <c r="C26" s="26" t="s">
        <v>97</v>
      </c>
      <c r="D26" s="41" t="s">
        <v>98</v>
      </c>
      <c r="E26" s="17">
        <f t="shared" si="11"/>
        <v>32737.8</v>
      </c>
      <c r="F26" s="17">
        <f t="shared" si="12"/>
        <v>54173.125</v>
      </c>
      <c r="G26" s="17">
        <f t="shared" si="2"/>
        <v>105344.25</v>
      </c>
      <c r="H26" s="17">
        <f t="shared" si="3"/>
        <v>131738.25</v>
      </c>
      <c r="I26" s="18">
        <v>35404</v>
      </c>
      <c r="J26" s="18">
        <f>630+300</f>
        <v>930</v>
      </c>
      <c r="K26" s="18">
        <v>24</v>
      </c>
      <c r="L26" s="18">
        <f>2+18170+30+84119</f>
        <v>102321</v>
      </c>
      <c r="M26" s="18">
        <v>38566</v>
      </c>
      <c r="N26" s="18">
        <f>3538+30+18280</f>
        <v>21848</v>
      </c>
      <c r="O26" s="18">
        <v>72462</v>
      </c>
      <c r="P26" s="18">
        <v>48945</v>
      </c>
      <c r="Q26" s="18">
        <v>33097</v>
      </c>
      <c r="R26" s="18">
        <v>65867</v>
      </c>
      <c r="S26" s="18">
        <v>59457</v>
      </c>
      <c r="T26" s="18">
        <v>34447</v>
      </c>
      <c r="U26" s="18">
        <v>64628</v>
      </c>
      <c r="V26" s="18">
        <v>54482</v>
      </c>
      <c r="W26" s="18">
        <v>84344</v>
      </c>
      <c r="X26" s="18">
        <v>130224</v>
      </c>
      <c r="Y26" s="18">
        <v>103094</v>
      </c>
      <c r="Z26" s="18">
        <v>103715</v>
      </c>
      <c r="AA26" s="18">
        <v>136114</v>
      </c>
      <c r="AB26" s="19">
        <v>128423</v>
      </c>
      <c r="AC26" s="19">
        <v>130971</v>
      </c>
      <c r="AD26" s="19">
        <v>131445</v>
      </c>
      <c r="AE26" s="45">
        <f t="shared" si="4"/>
        <v>1580808</v>
      </c>
      <c r="AF26" s="42">
        <v>0.109</v>
      </c>
      <c r="AG26" s="45">
        <f>AE26*AF26</f>
        <v>172308.07199999999</v>
      </c>
      <c r="AH26" s="61">
        <f t="shared" si="5"/>
        <v>4.1485484399333625</v>
      </c>
      <c r="AI26" s="61">
        <f t="shared" si="6"/>
        <v>829709.68798667251</v>
      </c>
      <c r="AJ26" s="61">
        <f t="shared" si="7"/>
        <v>7612015.4861162612</v>
      </c>
      <c r="AK26" s="11">
        <f>AJ26/AR26</f>
        <v>21592.21776470913</v>
      </c>
      <c r="AL26" s="9"/>
      <c r="AN26" s="23">
        <f>[1]საპენსიო!D19</f>
        <v>119.85441176470589</v>
      </c>
      <c r="AO26" s="23">
        <f>[1]შშმპ!D18</f>
        <v>115.16901408450704</v>
      </c>
      <c r="AP26" s="24">
        <f t="shared" si="8"/>
        <v>117.51171292460646</v>
      </c>
      <c r="AQ26" s="24">
        <f t="shared" si="9"/>
        <v>29.377928231151614</v>
      </c>
      <c r="AR26" s="24">
        <f t="shared" si="10"/>
        <v>352.53513877381937</v>
      </c>
      <c r="AS26" s="9"/>
      <c r="AT26" s="22">
        <v>304248</v>
      </c>
    </row>
    <row r="27" spans="1:47">
      <c r="A27" s="26">
        <v>27</v>
      </c>
      <c r="B27" s="26" t="s">
        <v>99</v>
      </c>
      <c r="C27" s="26" t="s">
        <v>100</v>
      </c>
      <c r="D27" s="34" t="s">
        <v>101</v>
      </c>
      <c r="E27" s="17">
        <f t="shared" si="11"/>
        <v>3042.2</v>
      </c>
      <c r="F27" s="17">
        <f t="shared" si="12"/>
        <v>3862.625</v>
      </c>
      <c r="G27" s="17">
        <f t="shared" si="2"/>
        <v>8559.25</v>
      </c>
      <c r="H27" s="17">
        <f t="shared" si="3"/>
        <v>7996.333333333333</v>
      </c>
      <c r="I27" s="18">
        <v>2774</v>
      </c>
      <c r="J27" s="18">
        <v>3424</v>
      </c>
      <c r="K27" s="18">
        <v>2384</v>
      </c>
      <c r="L27" s="18">
        <f>2117</f>
        <v>2117</v>
      </c>
      <c r="M27" s="18">
        <v>4162</v>
      </c>
      <c r="N27" s="18">
        <f>2480+644</f>
        <v>3124</v>
      </c>
      <c r="O27" s="18">
        <v>2678</v>
      </c>
      <c r="P27" s="18">
        <v>2208</v>
      </c>
      <c r="Q27" s="18">
        <v>5712</v>
      </c>
      <c r="R27" s="18">
        <v>2577</v>
      </c>
      <c r="S27" s="18">
        <v>4044</v>
      </c>
      <c r="T27" s="18">
        <v>5261</v>
      </c>
      <c r="U27" s="18">
        <v>4810</v>
      </c>
      <c r="V27" s="18">
        <v>3611</v>
      </c>
      <c r="W27" s="18">
        <v>6970</v>
      </c>
      <c r="X27" s="18">
        <v>10729</v>
      </c>
      <c r="Y27" s="18">
        <v>7133</v>
      </c>
      <c r="Z27" s="18">
        <v>9405</v>
      </c>
      <c r="AA27" s="18">
        <v>6884</v>
      </c>
      <c r="AB27" s="19">
        <v>10015</v>
      </c>
      <c r="AC27" s="19">
        <v>7090</v>
      </c>
      <c r="AD27" s="19"/>
      <c r="AE27" s="45">
        <f t="shared" si="4"/>
        <v>107112</v>
      </c>
      <c r="AF27" s="27">
        <v>0.16520000000000001</v>
      </c>
      <c r="AG27" s="45">
        <f>AE27*AF27</f>
        <v>17694.902400000003</v>
      </c>
      <c r="AH27" s="61">
        <f t="shared" si="5"/>
        <v>0.42602855974323206</v>
      </c>
      <c r="AI27" s="61">
        <f t="shared" si="6"/>
        <v>85205.711948646422</v>
      </c>
      <c r="AJ27" s="61">
        <f t="shared" si="7"/>
        <v>515773.07474967564</v>
      </c>
      <c r="AK27" s="11">
        <f>AJ27/AR27</f>
        <v>1320.2295807481803</v>
      </c>
      <c r="AL27" s="9"/>
      <c r="AN27" s="23">
        <f>[1]საპენსიო!D27</f>
        <v>189.44615384615383</v>
      </c>
      <c r="AO27" s="23">
        <f>[1]შშმპ!D26</f>
        <v>71</v>
      </c>
      <c r="AP27" s="24">
        <f t="shared" si="8"/>
        <v>130.22307692307692</v>
      </c>
      <c r="AQ27" s="24">
        <f t="shared" si="9"/>
        <v>32.555769230769229</v>
      </c>
      <c r="AR27" s="24">
        <f t="shared" si="10"/>
        <v>390.66923076923075</v>
      </c>
      <c r="AS27" s="9"/>
      <c r="AT27" s="22">
        <v>21710</v>
      </c>
    </row>
    <row r="28" spans="1:47" ht="27.75" customHeight="1">
      <c r="A28" s="26">
        <v>28</v>
      </c>
      <c r="B28" s="26" t="s">
        <v>102</v>
      </c>
      <c r="C28" s="26" t="s">
        <v>103</v>
      </c>
      <c r="D28" s="34" t="s">
        <v>104</v>
      </c>
      <c r="E28" s="17">
        <f t="shared" si="11"/>
        <v>28454.799999999999</v>
      </c>
      <c r="F28" s="17">
        <f t="shared" si="12"/>
        <v>36332.375</v>
      </c>
      <c r="G28" s="17">
        <f t="shared" si="2"/>
        <v>89779</v>
      </c>
      <c r="H28" s="17">
        <f t="shared" si="3"/>
        <v>101791.75</v>
      </c>
      <c r="I28" s="18">
        <v>0</v>
      </c>
      <c r="J28" s="18">
        <v>21555</v>
      </c>
      <c r="K28" s="18">
        <v>35764</v>
      </c>
      <c r="L28" s="18">
        <f>21573</f>
        <v>21573</v>
      </c>
      <c r="M28" s="18">
        <v>28139</v>
      </c>
      <c r="N28" s="18">
        <f>35243</f>
        <v>35243</v>
      </c>
      <c r="O28" s="18">
        <v>25652</v>
      </c>
      <c r="P28" s="18">
        <v>31840</v>
      </c>
      <c r="Q28" s="18">
        <v>43499</v>
      </c>
      <c r="R28" s="18">
        <v>34555</v>
      </c>
      <c r="S28" s="18">
        <v>39389</v>
      </c>
      <c r="T28" s="18">
        <v>38730</v>
      </c>
      <c r="U28" s="18">
        <v>38749</v>
      </c>
      <c r="V28" s="18">
        <v>38245</v>
      </c>
      <c r="W28" s="18">
        <v>74463</v>
      </c>
      <c r="X28" s="18">
        <v>85375</v>
      </c>
      <c r="Y28" s="18">
        <v>97444</v>
      </c>
      <c r="Z28" s="18">
        <v>101834</v>
      </c>
      <c r="AA28" s="18">
        <v>85627</v>
      </c>
      <c r="AB28" s="19">
        <v>103526</v>
      </c>
      <c r="AC28" s="19">
        <v>127741</v>
      </c>
      <c r="AD28" s="19">
        <v>90273</v>
      </c>
      <c r="AE28" s="45">
        <f t="shared" si="4"/>
        <v>1199216</v>
      </c>
      <c r="AF28" s="36">
        <v>4.4999999999999998E-2</v>
      </c>
      <c r="AG28" s="45">
        <f>AE28*AF28</f>
        <v>53964.72</v>
      </c>
      <c r="AH28" s="61">
        <f t="shared" si="5"/>
        <v>1.2992731702519471</v>
      </c>
      <c r="AI28" s="61">
        <f t="shared" si="6"/>
        <v>259854.6340503894</v>
      </c>
      <c r="AJ28" s="61">
        <f t="shared" si="7"/>
        <v>5774547.4233419867</v>
      </c>
      <c r="AK28" s="11">
        <f>AJ28/AR28</f>
        <v>15282.86942590107</v>
      </c>
      <c r="AL28" s="9"/>
      <c r="AN28" s="23">
        <f>[1]საპენსიო!D28</f>
        <v>118.71681415929204</v>
      </c>
      <c r="AO28" s="23">
        <f>[1]შშმპ!D27</f>
        <v>133.17948717948718</v>
      </c>
      <c r="AP28" s="24">
        <f t="shared" si="8"/>
        <v>125.94815066938961</v>
      </c>
      <c r="AQ28" s="24">
        <f t="shared" si="9"/>
        <v>31.487037667347401</v>
      </c>
      <c r="AR28" s="24">
        <f t="shared" si="10"/>
        <v>377.84445200816879</v>
      </c>
      <c r="AS28" s="9"/>
      <c r="AT28" s="22">
        <v>46718</v>
      </c>
    </row>
    <row r="29" spans="1:47" ht="26.25" customHeight="1">
      <c r="A29" s="26">
        <v>29</v>
      </c>
      <c r="B29" s="26" t="s">
        <v>105</v>
      </c>
      <c r="C29" s="26" t="s">
        <v>106</v>
      </c>
      <c r="D29" s="34" t="s">
        <v>71</v>
      </c>
      <c r="E29" s="17">
        <f t="shared" si="11"/>
        <v>754.2</v>
      </c>
      <c r="F29" s="17">
        <f t="shared" si="12"/>
        <v>1018.25</v>
      </c>
      <c r="G29" s="17">
        <f t="shared" si="2"/>
        <v>1003.75</v>
      </c>
      <c r="H29" s="17">
        <f t="shared" si="3"/>
        <v>1529</v>
      </c>
      <c r="I29" s="18">
        <v>547</v>
      </c>
      <c r="J29" s="18">
        <v>464</v>
      </c>
      <c r="K29" s="18">
        <v>356</v>
      </c>
      <c r="L29" s="18">
        <v>1050</v>
      </c>
      <c r="M29" s="18">
        <v>1342</v>
      </c>
      <c r="N29" s="18">
        <f>559</f>
        <v>559</v>
      </c>
      <c r="O29" s="18">
        <v>776</v>
      </c>
      <c r="P29" s="18">
        <v>1012</v>
      </c>
      <c r="Q29" s="18">
        <v>664</v>
      </c>
      <c r="R29" s="18">
        <v>926</v>
      </c>
      <c r="S29" s="18">
        <v>1161</v>
      </c>
      <c r="T29" s="18">
        <v>918</v>
      </c>
      <c r="U29" s="18">
        <v>1668</v>
      </c>
      <c r="V29" s="18">
        <v>1021</v>
      </c>
      <c r="W29" s="18">
        <v>513</v>
      </c>
      <c r="X29" s="18">
        <v>1320</v>
      </c>
      <c r="Y29" s="18">
        <v>1348</v>
      </c>
      <c r="Z29" s="18">
        <v>834</v>
      </c>
      <c r="AA29" s="18">
        <f>1971+1640</f>
        <v>3611</v>
      </c>
      <c r="AB29" s="19">
        <v>1204</v>
      </c>
      <c r="AC29" s="19">
        <v>898</v>
      </c>
      <c r="AD29" s="19">
        <v>403</v>
      </c>
      <c r="AE29" s="45">
        <f t="shared" si="4"/>
        <v>22595</v>
      </c>
      <c r="AF29" s="27">
        <v>3.2294999999999998</v>
      </c>
      <c r="AG29" s="45">
        <f>AE29*AF29</f>
        <v>72970.552499999991</v>
      </c>
      <c r="AH29" s="61">
        <f t="shared" si="5"/>
        <v>1.7568641342290137</v>
      </c>
      <c r="AI29" s="61">
        <f t="shared" si="6"/>
        <v>351372.82684580272</v>
      </c>
      <c r="AJ29" s="61">
        <f t="shared" si="7"/>
        <v>108800.99917813987</v>
      </c>
      <c r="AK29" s="11">
        <f>AJ29/AR29</f>
        <v>3047.647035802237</v>
      </c>
      <c r="AL29" s="9"/>
      <c r="AN29" s="23">
        <f>[1]საპენსიო!D25</f>
        <v>14.3</v>
      </c>
      <c r="AO29" s="23">
        <f>[1]შშმპ!D25</f>
        <v>9.5</v>
      </c>
      <c r="AP29" s="24">
        <f t="shared" si="8"/>
        <v>11.9</v>
      </c>
      <c r="AQ29" s="24">
        <f t="shared" si="9"/>
        <v>2.9750000000000001</v>
      </c>
      <c r="AR29" s="24">
        <f t="shared" si="10"/>
        <v>35.700000000000003</v>
      </c>
      <c r="AS29" s="9"/>
      <c r="AT29" s="43">
        <v>2687</v>
      </c>
    </row>
    <row r="30" spans="1:47" ht="39.75" customHeight="1">
      <c r="A30" s="26">
        <v>30</v>
      </c>
      <c r="B30" s="26" t="s">
        <v>107</v>
      </c>
      <c r="C30" s="26" t="s">
        <v>108</v>
      </c>
      <c r="D30" s="34" t="s">
        <v>109</v>
      </c>
      <c r="E30" s="17">
        <f t="shared" si="11"/>
        <v>105.2</v>
      </c>
      <c r="F30" s="17">
        <f t="shared" si="12"/>
        <v>119.375</v>
      </c>
      <c r="G30" s="17">
        <f t="shared" si="2"/>
        <v>107.5</v>
      </c>
      <c r="H30" s="17">
        <f t="shared" si="3"/>
        <v>1125</v>
      </c>
      <c r="I30" s="18">
        <v>290</v>
      </c>
      <c r="J30" s="18">
        <v>46</v>
      </c>
      <c r="K30" s="18">
        <v>110</v>
      </c>
      <c r="L30" s="18">
        <v>131</v>
      </c>
      <c r="M30" s="18">
        <v>165</v>
      </c>
      <c r="N30" s="18">
        <f>74</f>
        <v>74</v>
      </c>
      <c r="O30" s="18">
        <v>0</v>
      </c>
      <c r="P30" s="18">
        <v>55</v>
      </c>
      <c r="Q30" s="18">
        <v>100</v>
      </c>
      <c r="R30" s="18">
        <v>400</v>
      </c>
      <c r="S30" s="18">
        <v>80</v>
      </c>
      <c r="T30" s="18">
        <v>90</v>
      </c>
      <c r="U30" s="18">
        <v>184</v>
      </c>
      <c r="V30" s="18">
        <v>46</v>
      </c>
      <c r="W30" s="18">
        <v>40</v>
      </c>
      <c r="X30" s="18">
        <v>120</v>
      </c>
      <c r="Y30" s="18">
        <v>203</v>
      </c>
      <c r="Z30" s="18">
        <v>67</v>
      </c>
      <c r="AA30" s="18">
        <v>1125</v>
      </c>
      <c r="AB30" s="44"/>
      <c r="AC30" s="44"/>
      <c r="AD30" s="44"/>
      <c r="AE30" s="45">
        <f t="shared" si="4"/>
        <v>3326</v>
      </c>
      <c r="AF30" s="44"/>
      <c r="AG30" s="45">
        <f>AE30*AF30</f>
        <v>0</v>
      </c>
      <c r="AH30" s="61">
        <f t="shared" si="5"/>
        <v>0</v>
      </c>
      <c r="AI30" s="61">
        <f t="shared" si="6"/>
        <v>0</v>
      </c>
      <c r="AJ30" s="61"/>
      <c r="AK30" s="11">
        <f>AJ30/AR30</f>
        <v>0</v>
      </c>
      <c r="AL30" s="9"/>
      <c r="AN30" s="23">
        <f>[1]საპენსიო!D21</f>
        <v>30</v>
      </c>
      <c r="AO30" s="23"/>
      <c r="AP30" s="24">
        <f t="shared" si="8"/>
        <v>30</v>
      </c>
      <c r="AQ30" s="24">
        <f t="shared" si="9"/>
        <v>7.5</v>
      </c>
      <c r="AR30" s="24">
        <f t="shared" si="10"/>
        <v>90</v>
      </c>
      <c r="AS30" s="9"/>
      <c r="AT30" s="44"/>
    </row>
    <row r="31" spans="1:47" ht="60.75" customHeight="1">
      <c r="A31" s="26">
        <v>31</v>
      </c>
      <c r="B31" s="26" t="s">
        <v>110</v>
      </c>
      <c r="C31" s="26" t="s">
        <v>111</v>
      </c>
      <c r="D31" s="34" t="s">
        <v>112</v>
      </c>
      <c r="E31" s="17">
        <f t="shared" si="11"/>
        <v>952.6</v>
      </c>
      <c r="F31" s="17">
        <f t="shared" si="12"/>
        <v>1313.125</v>
      </c>
      <c r="G31" s="17">
        <f t="shared" si="2"/>
        <v>1168.5</v>
      </c>
      <c r="H31" s="17">
        <f t="shared" si="3"/>
        <v>1485.5</v>
      </c>
      <c r="I31" s="18">
        <v>2050</v>
      </c>
      <c r="J31" s="18">
        <f>40+3+752</f>
        <v>795</v>
      </c>
      <c r="K31" s="18">
        <v>579</v>
      </c>
      <c r="L31" s="18">
        <f>52+45+1091+191</f>
        <v>1379</v>
      </c>
      <c r="M31" s="18">
        <v>1075</v>
      </c>
      <c r="N31" s="18">
        <f>12+393+530</f>
        <v>935</v>
      </c>
      <c r="O31" s="18">
        <v>1306</v>
      </c>
      <c r="P31" s="18">
        <v>1200</v>
      </c>
      <c r="Q31" s="18">
        <v>1273</v>
      </c>
      <c r="R31" s="18">
        <v>684</v>
      </c>
      <c r="S31" s="18">
        <v>1911</v>
      </c>
      <c r="T31" s="18">
        <v>1457</v>
      </c>
      <c r="U31" s="18">
        <v>1090</v>
      </c>
      <c r="V31" s="18">
        <v>1584</v>
      </c>
      <c r="W31" s="18">
        <v>2118</v>
      </c>
      <c r="X31" s="18">
        <v>1484</v>
      </c>
      <c r="Y31" s="18">
        <v>916</v>
      </c>
      <c r="Z31" s="18">
        <v>156</v>
      </c>
      <c r="AA31" s="18">
        <v>2685</v>
      </c>
      <c r="AB31" s="19">
        <v>854</v>
      </c>
      <c r="AC31" s="19">
        <v>1062</v>
      </c>
      <c r="AD31" s="19">
        <v>1341</v>
      </c>
      <c r="AE31" s="45">
        <f t="shared" si="4"/>
        <v>27934</v>
      </c>
      <c r="AF31" s="36">
        <v>30.998999999999999</v>
      </c>
      <c r="AG31" s="45">
        <f>AE31*AF31</f>
        <v>865926.06599999999</v>
      </c>
      <c r="AH31" s="61">
        <f t="shared" si="5"/>
        <v>20.848333966628878</v>
      </c>
      <c r="AI31" s="61">
        <f t="shared" si="6"/>
        <v>4169666.7933257758</v>
      </c>
      <c r="AJ31" s="61">
        <f t="shared" si="7"/>
        <v>134509.71945307191</v>
      </c>
      <c r="AK31" s="11">
        <f>AJ31/AR31</f>
        <v>24269.562971406627</v>
      </c>
      <c r="AL31" s="9"/>
      <c r="AN31" s="23">
        <f>[1]საპენსიო!D22</f>
        <v>1.9014925373134328</v>
      </c>
      <c r="AO31" s="23">
        <f>[1]შშმპ!D22</f>
        <v>1.7933884297520661</v>
      </c>
      <c r="AP31" s="24">
        <f t="shared" si="8"/>
        <v>1.8474404835327496</v>
      </c>
      <c r="AQ31" s="24">
        <f t="shared" si="9"/>
        <v>0.4618601208831874</v>
      </c>
      <c r="AR31" s="24">
        <f t="shared" si="10"/>
        <v>5.5423214505982488</v>
      </c>
      <c r="AS31" s="9"/>
      <c r="AT31" s="22">
        <v>5045</v>
      </c>
    </row>
    <row r="32" spans="1:47" ht="60.75" customHeight="1">
      <c r="A32" s="26">
        <v>32</v>
      </c>
      <c r="B32" s="26" t="s">
        <v>113</v>
      </c>
      <c r="C32" s="26" t="s">
        <v>114</v>
      </c>
      <c r="D32" s="34" t="s">
        <v>60</v>
      </c>
      <c r="E32" s="17"/>
      <c r="F32" s="17"/>
      <c r="G32" s="17" t="e">
        <f t="shared" si="2"/>
        <v>#DIV/0!</v>
      </c>
      <c r="H32" s="17">
        <f t="shared" si="3"/>
        <v>642.5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>
        <v>168</v>
      </c>
      <c r="AB32" s="19">
        <v>1752</v>
      </c>
      <c r="AC32" s="19">
        <v>472</v>
      </c>
      <c r="AD32" s="19">
        <v>178</v>
      </c>
      <c r="AE32" s="45">
        <f t="shared" si="4"/>
        <v>2570</v>
      </c>
      <c r="AF32" s="36">
        <v>25.76</v>
      </c>
      <c r="AG32" s="45">
        <f>AE32*AF32</f>
        <v>66203.199999999997</v>
      </c>
      <c r="AH32" s="61">
        <f t="shared" si="5"/>
        <v>1.5939310265081279</v>
      </c>
      <c r="AI32" s="61">
        <f t="shared" si="6"/>
        <v>318786.2053016256</v>
      </c>
      <c r="AJ32" s="61">
        <f t="shared" si="7"/>
        <v>12375.240889038259</v>
      </c>
      <c r="AL32" s="9"/>
      <c r="AN32" s="23"/>
      <c r="AO32" s="23"/>
      <c r="AP32" s="24"/>
      <c r="AQ32" s="24">
        <f t="shared" si="9"/>
        <v>0</v>
      </c>
      <c r="AR32" s="24">
        <f t="shared" si="10"/>
        <v>0</v>
      </c>
      <c r="AS32" s="9"/>
      <c r="AT32" s="46">
        <v>4750</v>
      </c>
    </row>
    <row r="33" spans="1:46" ht="48.75" customHeight="1">
      <c r="A33" s="26">
        <v>33</v>
      </c>
      <c r="B33" s="15" t="s">
        <v>115</v>
      </c>
      <c r="C33" s="15" t="s">
        <v>116</v>
      </c>
      <c r="D33" s="34" t="s">
        <v>39</v>
      </c>
      <c r="E33" s="17">
        <f>AVERAGE(J33:N33)</f>
        <v>401.4</v>
      </c>
      <c r="F33" s="17">
        <f>AVERAGE(O33:V33)</f>
        <v>514.5</v>
      </c>
      <c r="G33" s="17">
        <f t="shared" si="2"/>
        <v>882.75</v>
      </c>
      <c r="H33" s="17">
        <f t="shared" si="3"/>
        <v>838.25</v>
      </c>
      <c r="I33" s="18">
        <v>647</v>
      </c>
      <c r="J33" s="18">
        <f>118+269</f>
        <v>387</v>
      </c>
      <c r="K33" s="18">
        <f>20+54+196</f>
        <v>270</v>
      </c>
      <c r="L33" s="18">
        <f>254+23+229</f>
        <v>506</v>
      </c>
      <c r="M33" s="18">
        <f>90+362</f>
        <v>452</v>
      </c>
      <c r="N33" s="18">
        <f>215+143+8+26</f>
        <v>392</v>
      </c>
      <c r="O33" s="18">
        <v>422</v>
      </c>
      <c r="P33" s="18">
        <v>557</v>
      </c>
      <c r="Q33" s="18">
        <v>504</v>
      </c>
      <c r="R33" s="18">
        <v>431</v>
      </c>
      <c r="S33" s="18">
        <v>653</v>
      </c>
      <c r="T33" s="18">
        <v>459</v>
      </c>
      <c r="U33" s="18">
        <v>534</v>
      </c>
      <c r="V33" s="18">
        <v>556</v>
      </c>
      <c r="W33" s="18">
        <v>849</v>
      </c>
      <c r="X33" s="18">
        <v>896</v>
      </c>
      <c r="Y33" s="18">
        <v>844</v>
      </c>
      <c r="Z33" s="18">
        <v>942</v>
      </c>
      <c r="AA33" s="18">
        <v>956</v>
      </c>
      <c r="AB33" s="19">
        <v>888</v>
      </c>
      <c r="AC33" s="19">
        <v>844</v>
      </c>
      <c r="AD33" s="19">
        <v>665</v>
      </c>
      <c r="AE33" s="45">
        <f t="shared" si="4"/>
        <v>13654</v>
      </c>
      <c r="AF33" s="47">
        <v>4.8</v>
      </c>
      <c r="AG33" s="45">
        <f>AE33*AF33</f>
        <v>65539.199999999997</v>
      </c>
      <c r="AH33" s="61">
        <f t="shared" si="5"/>
        <v>1.5779443339977752</v>
      </c>
      <c r="AI33" s="61">
        <f t="shared" si="6"/>
        <v>315588.86679955502</v>
      </c>
      <c r="AJ33" s="61">
        <f>AI33/AF33</f>
        <v>65747.680583240639</v>
      </c>
      <c r="AK33" s="11">
        <f>AJ33/AR33</f>
        <v>10957.874448034465</v>
      </c>
      <c r="AL33" s="9"/>
      <c r="AN33" s="23">
        <f>[1]საპენსიო!D23</f>
        <v>1.9255583126550868</v>
      </c>
      <c r="AO33" s="23">
        <f>[1]შშმპ!D23</f>
        <v>2.0744680851063828</v>
      </c>
      <c r="AP33" s="24">
        <f t="shared" si="8"/>
        <v>2.000013198880735</v>
      </c>
      <c r="AQ33" s="24">
        <f t="shared" si="9"/>
        <v>0.50000329972018376</v>
      </c>
      <c r="AR33" s="24">
        <f t="shared" si="10"/>
        <v>6.0000395966422051</v>
      </c>
      <c r="AS33" s="9"/>
      <c r="AT33" s="22">
        <v>2015</v>
      </c>
    </row>
    <row r="34" spans="1:46" ht="85.5" customHeight="1">
      <c r="A34" s="26">
        <v>34</v>
      </c>
      <c r="B34" s="26" t="s">
        <v>117</v>
      </c>
      <c r="C34" s="26" t="s">
        <v>118</v>
      </c>
      <c r="D34" s="34" t="s">
        <v>98</v>
      </c>
      <c r="E34" s="17">
        <f>AVERAGE(J34:N34)</f>
        <v>53.2</v>
      </c>
      <c r="F34" s="17">
        <f>AVERAGE(O34:V34)</f>
        <v>113.75</v>
      </c>
      <c r="G34" s="17">
        <f t="shared" si="2"/>
        <v>252.5</v>
      </c>
      <c r="H34" s="17">
        <f t="shared" si="3"/>
        <v>310.5</v>
      </c>
      <c r="I34" s="18">
        <v>0</v>
      </c>
      <c r="J34" s="18">
        <v>10</v>
      </c>
      <c r="K34" s="18">
        <v>41</v>
      </c>
      <c r="L34" s="18">
        <v>62</v>
      </c>
      <c r="M34" s="18">
        <v>65</v>
      </c>
      <c r="N34" s="18">
        <v>88</v>
      </c>
      <c r="O34" s="18">
        <v>84</v>
      </c>
      <c r="P34" s="18">
        <v>83</v>
      </c>
      <c r="Q34" s="18">
        <v>104</v>
      </c>
      <c r="R34" s="18">
        <v>114</v>
      </c>
      <c r="S34" s="18">
        <v>141</v>
      </c>
      <c r="T34" s="18">
        <v>142</v>
      </c>
      <c r="U34" s="18">
        <v>104</v>
      </c>
      <c r="V34" s="18">
        <v>138</v>
      </c>
      <c r="W34" s="18">
        <v>190</v>
      </c>
      <c r="X34" s="18">
        <v>242</v>
      </c>
      <c r="Y34" s="18">
        <v>258</v>
      </c>
      <c r="Z34" s="18">
        <v>320</v>
      </c>
      <c r="AA34" s="18">
        <v>340</v>
      </c>
      <c r="AB34" s="19">
        <v>282</v>
      </c>
      <c r="AC34" s="19">
        <v>338</v>
      </c>
      <c r="AD34" s="19">
        <v>282</v>
      </c>
      <c r="AE34" s="45">
        <f t="shared" si="4"/>
        <v>3428</v>
      </c>
      <c r="AF34" s="36">
        <v>79.558000000000007</v>
      </c>
      <c r="AG34" s="45">
        <f>AE34*AF34</f>
        <v>272724.82400000002</v>
      </c>
      <c r="AH34" s="61">
        <f t="shared" si="5"/>
        <v>6.5662167187170493</v>
      </c>
      <c r="AI34" s="61">
        <f t="shared" si="6"/>
        <v>1313243.3437434097</v>
      </c>
      <c r="AJ34" s="61">
        <f t="shared" si="7"/>
        <v>16506.741543822238</v>
      </c>
      <c r="AK34" s="11">
        <f>AJ34/AR34</f>
        <v>2651.5785433168667</v>
      </c>
      <c r="AL34" s="9"/>
      <c r="AN34" s="23">
        <f>[1]საპენსიო!D26</f>
        <v>2.034782608695652</v>
      </c>
      <c r="AO34" s="23">
        <f>[1]შშმპ!D24</f>
        <v>2.1153846153846154</v>
      </c>
      <c r="AP34" s="24">
        <f t="shared" si="8"/>
        <v>2.0750836120401335</v>
      </c>
      <c r="AQ34" s="24">
        <f t="shared" si="9"/>
        <v>0.51877090301003337</v>
      </c>
      <c r="AR34" s="24">
        <f t="shared" si="10"/>
        <v>6.2252508361204004</v>
      </c>
      <c r="AS34" s="9"/>
      <c r="AT34" s="22">
        <v>2530</v>
      </c>
    </row>
    <row r="35" spans="1:46" ht="45" customHeight="1">
      <c r="A35" s="26">
        <v>35</v>
      </c>
      <c r="B35" s="26" t="s">
        <v>119</v>
      </c>
      <c r="C35" s="26" t="s">
        <v>120</v>
      </c>
      <c r="D35" s="34" t="s">
        <v>121</v>
      </c>
      <c r="E35" s="17">
        <f>AVERAGE(J35:N35)</f>
        <v>458.2</v>
      </c>
      <c r="F35" s="17">
        <f>AVERAGE(O35:V35)</f>
        <v>496.5</v>
      </c>
      <c r="G35" s="17">
        <f t="shared" si="2"/>
        <v>733</v>
      </c>
      <c r="H35" s="17">
        <f t="shared" si="3"/>
        <v>713</v>
      </c>
      <c r="I35" s="18">
        <v>401</v>
      </c>
      <c r="J35" s="18">
        <f>101+62</f>
        <v>163</v>
      </c>
      <c r="K35" s="18">
        <f>18+30+176</f>
        <v>224</v>
      </c>
      <c r="L35" s="18">
        <f>25+8+1017</f>
        <v>1050</v>
      </c>
      <c r="M35" s="18">
        <v>539</v>
      </c>
      <c r="N35" s="18">
        <v>315</v>
      </c>
      <c r="O35" s="18">
        <v>419</v>
      </c>
      <c r="P35" s="18">
        <v>564</v>
      </c>
      <c r="Q35" s="18">
        <v>377</v>
      </c>
      <c r="R35" s="18">
        <v>511</v>
      </c>
      <c r="S35" s="18">
        <v>477</v>
      </c>
      <c r="T35" s="18">
        <v>435</v>
      </c>
      <c r="U35" s="18">
        <v>530</v>
      </c>
      <c r="V35" s="18">
        <v>659</v>
      </c>
      <c r="W35" s="18">
        <v>515</v>
      </c>
      <c r="X35" s="18">
        <v>837</v>
      </c>
      <c r="Y35" s="18">
        <v>827</v>
      </c>
      <c r="Z35" s="18">
        <v>753</v>
      </c>
      <c r="AA35" s="18">
        <v>1084</v>
      </c>
      <c r="AB35" s="19">
        <v>482</v>
      </c>
      <c r="AC35" s="19">
        <v>611</v>
      </c>
      <c r="AD35" s="19">
        <v>675</v>
      </c>
      <c r="AE35" s="45">
        <f t="shared" si="4"/>
        <v>12448</v>
      </c>
      <c r="AF35" s="40">
        <v>0.36980000000000002</v>
      </c>
      <c r="AG35" s="45">
        <f>AE35*AF35</f>
        <v>4603.2704000000003</v>
      </c>
      <c r="AH35" s="61">
        <f t="shared" si="5"/>
        <v>0.11082992232953214</v>
      </c>
      <c r="AI35" s="61">
        <f t="shared" si="6"/>
        <v>22165.984465906429</v>
      </c>
      <c r="AJ35" s="61">
        <f t="shared" si="7"/>
        <v>59940.466376166652</v>
      </c>
      <c r="AK35" s="11">
        <f>AJ35/AR35</f>
        <v>1403.0814848810094</v>
      </c>
      <c r="AL35" s="9"/>
      <c r="AN35" s="23">
        <f>[1]საპენსიო!D24</f>
        <v>14.980392156862745</v>
      </c>
      <c r="AO35" s="23">
        <f>[1]შშმპ!D21</f>
        <v>13.5</v>
      </c>
      <c r="AP35" s="24">
        <f t="shared" si="8"/>
        <v>14.240196078431373</v>
      </c>
      <c r="AQ35" s="24">
        <f t="shared" si="9"/>
        <v>3.5600490196078431</v>
      </c>
      <c r="AR35" s="24">
        <f t="shared" si="10"/>
        <v>42.720588235294116</v>
      </c>
      <c r="AS35" s="9"/>
      <c r="AT35" s="22">
        <v>8533</v>
      </c>
    </row>
    <row r="36" spans="1:46" ht="24.75">
      <c r="A36" s="26">
        <v>36</v>
      </c>
      <c r="B36" s="48" t="s">
        <v>122</v>
      </c>
      <c r="C36" s="49" t="s">
        <v>123</v>
      </c>
      <c r="D36" s="50" t="s">
        <v>81</v>
      </c>
      <c r="E36" s="17"/>
      <c r="F36" s="17"/>
      <c r="G36" s="17">
        <f t="shared" si="2"/>
        <v>12111</v>
      </c>
      <c r="H36" s="17">
        <f t="shared" si="3"/>
        <v>40549.5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18">
        <v>12111</v>
      </c>
      <c r="AA36" s="18">
        <v>37545</v>
      </c>
      <c r="AB36" s="19">
        <v>37213</v>
      </c>
      <c r="AC36" s="19">
        <v>44342</v>
      </c>
      <c r="AD36" s="19">
        <v>43098</v>
      </c>
      <c r="AE36" s="45">
        <f t="shared" si="4"/>
        <v>174309</v>
      </c>
      <c r="AF36" s="47">
        <v>0.57999999999999996</v>
      </c>
      <c r="AG36" s="45">
        <f>AE36*AF36</f>
        <v>101099.21999999999</v>
      </c>
      <c r="AH36" s="61">
        <f t="shared" si="5"/>
        <v>2.4340996132176547</v>
      </c>
      <c r="AI36" s="61">
        <f t="shared" si="6"/>
        <v>486819.92264353094</v>
      </c>
      <c r="AJ36" s="61">
        <f t="shared" si="7"/>
        <v>839344.69421298441</v>
      </c>
      <c r="AK36" s="11">
        <f>AJ36/AR36</f>
        <v>2348.9600251747447</v>
      </c>
      <c r="AL36" s="9"/>
      <c r="AN36" s="23">
        <f>[1]საპენსიო!D34</f>
        <v>128.21739130434781</v>
      </c>
      <c r="AO36" s="23">
        <f>[1]შშმპ!D35</f>
        <v>110</v>
      </c>
      <c r="AP36" s="24">
        <f t="shared" si="8"/>
        <v>119.10869565217391</v>
      </c>
      <c r="AQ36" s="24">
        <f t="shared" si="9"/>
        <v>29.777173913043477</v>
      </c>
      <c r="AR36" s="24">
        <f t="shared" si="10"/>
        <v>357.32608695652175</v>
      </c>
      <c r="AS36" s="9"/>
      <c r="AT36" s="22">
        <v>310319</v>
      </c>
    </row>
    <row r="37" spans="1:46" ht="36.75">
      <c r="A37" s="26">
        <v>37</v>
      </c>
      <c r="B37" s="48" t="s">
        <v>124</v>
      </c>
      <c r="C37" s="49" t="s">
        <v>125</v>
      </c>
      <c r="D37" s="50" t="s">
        <v>98</v>
      </c>
      <c r="E37" s="17"/>
      <c r="F37" s="17"/>
      <c r="G37" s="17">
        <f t="shared" si="2"/>
        <v>2522</v>
      </c>
      <c r="H37" s="17">
        <f t="shared" si="3"/>
        <v>13491.75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18">
        <v>2522</v>
      </c>
      <c r="AA37" s="18">
        <v>11386</v>
      </c>
      <c r="AB37" s="19">
        <v>12128</v>
      </c>
      <c r="AC37" s="19">
        <v>16396</v>
      </c>
      <c r="AD37" s="19">
        <v>14057</v>
      </c>
      <c r="AE37" s="45">
        <f t="shared" si="4"/>
        <v>56489</v>
      </c>
      <c r="AF37" s="47">
        <v>0.39</v>
      </c>
      <c r="AG37" s="45">
        <f>AE37*AF37</f>
        <v>22030.71</v>
      </c>
      <c r="AH37" s="61">
        <f t="shared" si="5"/>
        <v>0.53041895565475505</v>
      </c>
      <c r="AI37" s="61">
        <f t="shared" si="6"/>
        <v>106083.79113095101</v>
      </c>
      <c r="AJ37" s="61">
        <f t="shared" si="7"/>
        <v>272009.72084859235</v>
      </c>
      <c r="AK37" s="11">
        <f>AJ37/AR37</f>
        <v>671.13180569600888</v>
      </c>
      <c r="AL37" s="9"/>
      <c r="AN37" s="23">
        <f>[1]საპენსიო!D33</f>
        <v>170.2</v>
      </c>
      <c r="AO37" s="23">
        <f>[1]შშმპ!D34</f>
        <v>100</v>
      </c>
      <c r="AP37" s="24">
        <f t="shared" si="8"/>
        <v>135.1</v>
      </c>
      <c r="AQ37" s="24">
        <f t="shared" si="9"/>
        <v>33.774999999999999</v>
      </c>
      <c r="AR37" s="24">
        <f t="shared" si="10"/>
        <v>405.29999999999995</v>
      </c>
      <c r="AS37" s="9"/>
      <c r="AT37" s="22">
        <v>194503</v>
      </c>
    </row>
    <row r="38" spans="1:46" ht="24.75">
      <c r="A38" s="26">
        <v>38</v>
      </c>
      <c r="B38" s="51" t="s">
        <v>126</v>
      </c>
      <c r="C38" s="49" t="s">
        <v>127</v>
      </c>
      <c r="D38" s="50" t="s">
        <v>128</v>
      </c>
      <c r="E38" s="17"/>
      <c r="F38" s="17"/>
      <c r="G38" s="17">
        <f t="shared" si="2"/>
        <v>2254</v>
      </c>
      <c r="H38" s="17">
        <f t="shared" si="3"/>
        <v>13798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18">
        <v>2254</v>
      </c>
      <c r="AA38" s="18">
        <v>9669</v>
      </c>
      <c r="AB38" s="19">
        <v>16679</v>
      </c>
      <c r="AC38" s="19">
        <v>15229</v>
      </c>
      <c r="AD38" s="19">
        <v>13615</v>
      </c>
      <c r="AE38" s="45">
        <f t="shared" si="4"/>
        <v>57446</v>
      </c>
      <c r="AF38" s="52">
        <v>0.70299999999999996</v>
      </c>
      <c r="AG38" s="45">
        <f>AE38*AF38</f>
        <v>40384.538</v>
      </c>
      <c r="AH38" s="61">
        <f t="shared" si="5"/>
        <v>0.97231203490762541</v>
      </c>
      <c r="AI38" s="61">
        <f t="shared" si="6"/>
        <v>194462.4069815251</v>
      </c>
      <c r="AJ38" s="61">
        <f t="shared" si="7"/>
        <v>276617.93311738991</v>
      </c>
      <c r="AK38" s="11">
        <f>AJ38/AR38</f>
        <v>755.78670250652976</v>
      </c>
      <c r="AL38" s="9"/>
      <c r="AN38" s="23">
        <f>[1]საპენსიო!D32</f>
        <v>30</v>
      </c>
      <c r="AO38" s="23">
        <f>[1]შშმპ!D33</f>
        <v>214</v>
      </c>
      <c r="AP38" s="24">
        <f t="shared" si="8"/>
        <v>122</v>
      </c>
      <c r="AQ38" s="24">
        <f t="shared" si="9"/>
        <v>30.5</v>
      </c>
      <c r="AR38" s="24">
        <f t="shared" si="10"/>
        <v>366</v>
      </c>
      <c r="AS38" s="9"/>
      <c r="AT38" s="22">
        <v>1841431</v>
      </c>
    </row>
    <row r="39" spans="1:46">
      <c r="A39" s="26">
        <v>39</v>
      </c>
      <c r="B39" s="51" t="s">
        <v>129</v>
      </c>
      <c r="C39" s="49" t="s">
        <v>130</v>
      </c>
      <c r="D39" s="50" t="s">
        <v>131</v>
      </c>
      <c r="E39" s="17"/>
      <c r="F39" s="17"/>
      <c r="G39" s="17">
        <f t="shared" si="2"/>
        <v>3581</v>
      </c>
      <c r="H39" s="17">
        <f t="shared" si="3"/>
        <v>34071.75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18">
        <v>3581</v>
      </c>
      <c r="AA39" s="18">
        <v>29394</v>
      </c>
      <c r="AB39" s="19">
        <v>42380</v>
      </c>
      <c r="AC39" s="19">
        <v>29080</v>
      </c>
      <c r="AD39" s="19">
        <v>35433</v>
      </c>
      <c r="AE39" s="45">
        <f t="shared" si="4"/>
        <v>139868</v>
      </c>
      <c r="AF39" s="40">
        <v>6.9599999999999995E-2</v>
      </c>
      <c r="AG39" s="45">
        <f>AE39*AF39</f>
        <v>9734.8127999999997</v>
      </c>
      <c r="AH39" s="61">
        <f t="shared" si="5"/>
        <v>0.23437870313169851</v>
      </c>
      <c r="AI39" s="61">
        <f t="shared" si="6"/>
        <v>46875.740626339699</v>
      </c>
      <c r="AJ39" s="61">
        <f t="shared" si="7"/>
        <v>673502.02049338655</v>
      </c>
      <c r="AK39" s="11">
        <f>AJ39/AR39</f>
        <v>698.29136391227223</v>
      </c>
      <c r="AL39" s="9"/>
      <c r="AN39" s="23">
        <f>[1]საპენსიო!D36</f>
        <v>275</v>
      </c>
      <c r="AO39" s="23">
        <f>[1]შშმპ!D37</f>
        <v>368</v>
      </c>
      <c r="AP39" s="24">
        <f t="shared" si="8"/>
        <v>321.5</v>
      </c>
      <c r="AQ39" s="24">
        <f t="shared" si="9"/>
        <v>80.375</v>
      </c>
      <c r="AR39" s="24">
        <f t="shared" si="10"/>
        <v>964.5</v>
      </c>
      <c r="AS39" s="9"/>
      <c r="AT39" s="22">
        <v>948766</v>
      </c>
    </row>
    <row r="40" spans="1:46" ht="24.75">
      <c r="A40" s="26">
        <v>40</v>
      </c>
      <c r="B40" s="48" t="s">
        <v>132</v>
      </c>
      <c r="C40" s="49" t="s">
        <v>133</v>
      </c>
      <c r="D40" s="50" t="s">
        <v>134</v>
      </c>
      <c r="E40" s="17"/>
      <c r="F40" s="17"/>
      <c r="G40" s="17">
        <f t="shared" si="2"/>
        <v>92</v>
      </c>
      <c r="H40" s="17">
        <f t="shared" si="3"/>
        <v>5311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18">
        <v>92</v>
      </c>
      <c r="AA40" s="18">
        <v>5662</v>
      </c>
      <c r="AB40" s="19">
        <v>3330</v>
      </c>
      <c r="AC40" s="19">
        <v>4580</v>
      </c>
      <c r="AD40" s="19">
        <v>7672</v>
      </c>
      <c r="AE40" s="45">
        <f t="shared" si="4"/>
        <v>21336</v>
      </c>
      <c r="AF40" s="40">
        <f>0.0653*3.0274</f>
        <v>0.19768922</v>
      </c>
      <c r="AG40" s="45">
        <f>AE40*AF40</f>
        <v>4217.8971979199996</v>
      </c>
      <c r="AH40" s="61">
        <f t="shared" si="5"/>
        <v>0.10155154449311185</v>
      </c>
      <c r="AI40" s="61">
        <f t="shared" si="6"/>
        <v>20310.30889862237</v>
      </c>
      <c r="AJ40" s="61">
        <f t="shared" si="7"/>
        <v>102738.57572315967</v>
      </c>
      <c r="AK40" s="11">
        <f>AJ40/AR40</f>
        <v>372.24121638825966</v>
      </c>
      <c r="AL40" s="9"/>
      <c r="AN40" s="23"/>
      <c r="AO40" s="23">
        <f>[1]შშმპ!D29</f>
        <v>92</v>
      </c>
      <c r="AP40" s="24">
        <f t="shared" si="8"/>
        <v>92</v>
      </c>
      <c r="AQ40" s="24">
        <f t="shared" si="9"/>
        <v>23</v>
      </c>
      <c r="AR40" s="24">
        <f t="shared" si="10"/>
        <v>276</v>
      </c>
      <c r="AS40" s="9"/>
      <c r="AT40" s="22">
        <v>235752</v>
      </c>
    </row>
    <row r="41" spans="1:46" ht="24.75">
      <c r="A41" s="26">
        <v>41</v>
      </c>
      <c r="B41" s="48" t="s">
        <v>135</v>
      </c>
      <c r="C41" s="49" t="s">
        <v>136</v>
      </c>
      <c r="D41" s="50" t="s">
        <v>98</v>
      </c>
      <c r="E41" s="17"/>
      <c r="F41" s="17"/>
      <c r="G41" s="17">
        <f t="shared" si="2"/>
        <v>276</v>
      </c>
      <c r="H41" s="17">
        <f t="shared" si="3"/>
        <v>13475.5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18">
        <v>276</v>
      </c>
      <c r="AA41" s="18">
        <v>11673</v>
      </c>
      <c r="AB41" s="19">
        <v>12009</v>
      </c>
      <c r="AC41" s="19">
        <v>11266</v>
      </c>
      <c r="AD41" s="19">
        <v>18954</v>
      </c>
      <c r="AE41" s="45">
        <f t="shared" si="4"/>
        <v>54178</v>
      </c>
      <c r="AF41" s="40">
        <f>0.0911*3.0274</f>
        <v>0.27579614000000002</v>
      </c>
      <c r="AG41" s="45">
        <f>AE41*AF41</f>
        <v>14942.083272920001</v>
      </c>
      <c r="AH41" s="61">
        <f t="shared" si="5"/>
        <v>0.35975073907870475</v>
      </c>
      <c r="AI41" s="61">
        <f t="shared" si="6"/>
        <v>71950.147815740944</v>
      </c>
      <c r="AJ41" s="61">
        <f t="shared" si="7"/>
        <v>260881.63458611473</v>
      </c>
      <c r="AK41" s="11">
        <f>AJ41/AR41</f>
        <v>966.22827624486933</v>
      </c>
      <c r="AL41" s="9"/>
      <c r="AN41" s="23"/>
      <c r="AO41" s="23">
        <f>[1]შშმპ!D30</f>
        <v>90</v>
      </c>
      <c r="AP41" s="24">
        <f t="shared" si="8"/>
        <v>90</v>
      </c>
      <c r="AQ41" s="24">
        <f t="shared" si="9"/>
        <v>22.5</v>
      </c>
      <c r="AR41" s="24">
        <f t="shared" si="10"/>
        <v>270</v>
      </c>
      <c r="AS41" s="9"/>
      <c r="AT41" s="22">
        <v>1175322</v>
      </c>
    </row>
    <row r="42" spans="1:46">
      <c r="A42" s="26">
        <v>42</v>
      </c>
      <c r="B42" s="51" t="s">
        <v>137</v>
      </c>
      <c r="C42" s="49" t="s">
        <v>138</v>
      </c>
      <c r="D42" s="50" t="s">
        <v>139</v>
      </c>
      <c r="E42" s="17"/>
      <c r="F42" s="17"/>
      <c r="G42" s="17"/>
      <c r="H42" s="17">
        <f t="shared" si="3"/>
        <v>2032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8"/>
      <c r="AA42" s="18">
        <v>1803</v>
      </c>
      <c r="AB42" s="19">
        <v>1784</v>
      </c>
      <c r="AC42" s="19">
        <v>1724</v>
      </c>
      <c r="AD42" s="19">
        <v>2817</v>
      </c>
      <c r="AE42" s="45">
        <f t="shared" si="4"/>
        <v>8128</v>
      </c>
      <c r="AF42" s="40">
        <v>1.0943000000000001</v>
      </c>
      <c r="AG42" s="45">
        <f>AE42*AF42</f>
        <v>8894.4704000000002</v>
      </c>
      <c r="AH42" s="61">
        <f t="shared" si="5"/>
        <v>0.21414633031210215</v>
      </c>
      <c r="AI42" s="61">
        <f t="shared" si="6"/>
        <v>42829.266062420429</v>
      </c>
      <c r="AJ42" s="61">
        <f t="shared" si="7"/>
        <v>39138.505037394156</v>
      </c>
      <c r="AL42" s="9"/>
      <c r="AN42" s="23"/>
      <c r="AO42" s="23"/>
      <c r="AP42" s="24"/>
      <c r="AQ42" s="24">
        <f t="shared" si="9"/>
        <v>0</v>
      </c>
      <c r="AR42" s="24">
        <f t="shared" si="10"/>
        <v>0</v>
      </c>
      <c r="AS42" s="9"/>
      <c r="AT42" s="22">
        <v>449555</v>
      </c>
    </row>
    <row r="43" spans="1:46">
      <c r="A43" s="26">
        <v>43</v>
      </c>
      <c r="B43" s="51" t="s">
        <v>140</v>
      </c>
      <c r="C43" s="49" t="s">
        <v>141</v>
      </c>
      <c r="D43" s="50" t="s">
        <v>142</v>
      </c>
      <c r="E43" s="17"/>
      <c r="F43" s="17"/>
      <c r="G43" s="17">
        <f t="shared" si="2"/>
        <v>990</v>
      </c>
      <c r="H43" s="17">
        <f t="shared" si="3"/>
        <v>6296.5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18">
        <v>990</v>
      </c>
      <c r="AA43" s="18">
        <v>2878</v>
      </c>
      <c r="AB43" s="19">
        <v>5373</v>
      </c>
      <c r="AC43" s="19">
        <v>6512</v>
      </c>
      <c r="AD43" s="19">
        <v>10423</v>
      </c>
      <c r="AE43" s="45">
        <f t="shared" si="4"/>
        <v>26176</v>
      </c>
      <c r="AF43" s="47">
        <v>0.37</v>
      </c>
      <c r="AG43" s="45">
        <f>AE43*AF43</f>
        <v>9685.119999999999</v>
      </c>
      <c r="AH43" s="61">
        <f t="shared" si="5"/>
        <v>0.23318228217751405</v>
      </c>
      <c r="AI43" s="61">
        <f t="shared" si="6"/>
        <v>46636.456435502812</v>
      </c>
      <c r="AJ43" s="61">
        <f>AI43/AF43</f>
        <v>126044.4768527103</v>
      </c>
      <c r="AK43" s="11">
        <f>AJ43/AR43</f>
        <v>311.22093050051927</v>
      </c>
      <c r="AL43" s="9"/>
      <c r="AN43" s="23"/>
      <c r="AO43" s="23">
        <f>[1]შშმპ!D32</f>
        <v>135</v>
      </c>
      <c r="AP43" s="24">
        <f t="shared" si="8"/>
        <v>135</v>
      </c>
      <c r="AQ43" s="24">
        <f t="shared" si="9"/>
        <v>33.75</v>
      </c>
      <c r="AR43" s="24">
        <f t="shared" si="10"/>
        <v>405</v>
      </c>
      <c r="AS43" s="9"/>
      <c r="AT43" s="22">
        <v>165836</v>
      </c>
    </row>
    <row r="44" spans="1:46">
      <c r="E44" s="17"/>
      <c r="F44" s="53"/>
      <c r="G44" s="53"/>
      <c r="H44" s="53"/>
      <c r="AB44" s="55"/>
      <c r="AC44" s="55"/>
      <c r="AD44" s="55"/>
      <c r="AE44" s="25"/>
      <c r="AG44" s="20">
        <f>SUM(AG2:AG43)</f>
        <v>4153454.5033001406</v>
      </c>
      <c r="AI44" s="11">
        <v>20000000</v>
      </c>
      <c r="AK44" s="11">
        <f>SUM(AK2:AK43)</f>
        <v>529846.14803571731</v>
      </c>
      <c r="AL44" s="9"/>
      <c r="AS44" s="9"/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2019-06-05T16:09:54Z</dcterms:modified>
</cp:coreProperties>
</file>